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/>
  <bookViews>
    <workbookView xWindow="0" yWindow="195" windowWidth="15480" windowHeight="11565" tabRatio="690" firstSheet="9" activeTab="11"/>
  </bookViews>
  <sheets>
    <sheet name="Enero" sheetId="1" state="hidden" r:id="rId1"/>
    <sheet name="Febrero" sheetId="6" state="hidden" r:id="rId2"/>
    <sheet name="Marzo" sheetId="7" state="hidden" r:id="rId3"/>
    <sheet name="Abril" sheetId="8" state="hidden" r:id="rId4"/>
    <sheet name="Mayo" sheetId="9" state="hidden" r:id="rId5"/>
    <sheet name="Junio" sheetId="10" state="hidden" r:id="rId6"/>
    <sheet name="Julio" sheetId="11" state="hidden" r:id="rId7"/>
    <sheet name="Agosto" sheetId="12" state="hidden" r:id="rId8"/>
    <sheet name="Septiembre" sheetId="13" state="hidden" r:id="rId9"/>
    <sheet name="Octubre" sheetId="14" r:id="rId10"/>
    <sheet name="Noviembre" sheetId="15" r:id="rId11"/>
    <sheet name="Diciembre" sheetId="16" r:id="rId12"/>
  </sheets>
  <definedNames>
    <definedName name="AbrDom1">DATE(Año_Calendario,4,1)-WEEKDAY(DATE(Año_Calendario,4,1))+1</definedName>
    <definedName name="AgoDom1">DATE(Año_Calendario,8,1)-WEEKDAY(DATE(Año_Calendario,8,1))+1</definedName>
    <definedName name="Año_Calendario">Enero!$N$2</definedName>
    <definedName name="_xlnm.Print_Area" localSheetId="3">Abril!$A$1:$M$50</definedName>
    <definedName name="_xlnm.Print_Area" localSheetId="7">Agosto!$A$1:$M$50</definedName>
    <definedName name="_xlnm.Print_Area" localSheetId="11">Diciembre!$A$1:$M$50</definedName>
    <definedName name="_xlnm.Print_Area" localSheetId="0">Enero!$A$1:$M$50</definedName>
    <definedName name="_xlnm.Print_Area" localSheetId="1">Febrero!$A$1:$M$50</definedName>
    <definedName name="_xlnm.Print_Area" localSheetId="6">Julio!$A$1:$M$50</definedName>
    <definedName name="_xlnm.Print_Area" localSheetId="5">Junio!$A$1:$M$50</definedName>
    <definedName name="_xlnm.Print_Area" localSheetId="2">Marzo!$A$1:$M$50</definedName>
    <definedName name="_xlnm.Print_Area" localSheetId="4">Mayo!$A$1:$M$50</definedName>
    <definedName name="_xlnm.Print_Area" localSheetId="10">Noviembre!$A$1:$M$50</definedName>
    <definedName name="_xlnm.Print_Area" localSheetId="9">Octubre!$A$1:$M$50</definedName>
    <definedName name="_xlnm.Print_Area" localSheetId="8">Septiembre!$A$1:$M$50</definedName>
    <definedName name="DíasDeTareas" localSheetId="3">Abril!$L$4:$L$33</definedName>
    <definedName name="DíasDeTareas" localSheetId="7">Agosto!$L$4:$L$33</definedName>
    <definedName name="DíasDeTareas" localSheetId="11">Diciembre!$L$4:$L$33</definedName>
    <definedName name="DíasDeTareas" localSheetId="1">Febrero!$L$4:$L$33</definedName>
    <definedName name="DíasDeTareas" localSheetId="6">Julio!$L$4:$L$33</definedName>
    <definedName name="DíasDeTareas" localSheetId="5">Junio!$L$4:$L$33</definedName>
    <definedName name="DíasDeTareas" localSheetId="2">Marzo!$L$4:$L$33</definedName>
    <definedName name="DíasDeTareas" localSheetId="4">Mayo!$L$4:$L$33</definedName>
    <definedName name="DíasDeTareas" localSheetId="10">Noviembre!$L$4:$L$33</definedName>
    <definedName name="DíasDeTareas" localSheetId="9">Octubre!$L$4:$L$33</definedName>
    <definedName name="DíasDeTareas" localSheetId="8">Septiembre!$L$4:$L$33</definedName>
    <definedName name="DíasDeTareas">Enero!$L$4:$L$33</definedName>
    <definedName name="DicDom1">DATE(Año_Calendario,12,1)-WEEKDAY(DATE(Año_Calendario,12,1))+1</definedName>
    <definedName name="FebDom1">DATE(Año_Calendario,2,1)-WEEKDAY(DATE(Año_Calendario,2,1))+1</definedName>
    <definedName name="JanSun1">DATE(Año_Calendario,1,1)-WEEKDAY(DATE(Año_Calendario,1,1))+1</definedName>
    <definedName name="JulDom1">DATE(Año_Calendario,7,1)-WEEKDAY(DATE(Año_Calendario,7,1))+1</definedName>
    <definedName name="JunDom1">DATE(Año_Calendario,6,1)-WEEKDAY(DATE(Año_Calendario,6,1))+1</definedName>
    <definedName name="MarDom1">DATE(Año_Calendario,3,1)-WEEKDAY(DATE(Año_Calendario,3,1))+1</definedName>
    <definedName name="MayDom1">DATE(Año_Calendario,5,1)-WEEKDAY(DATE(Año_Calendario,5,1))+1</definedName>
    <definedName name="NovDom1">DATE(Año_Calendario,11,1)-WEEKDAY(DATE(Año_Calendario,11,1))+1</definedName>
    <definedName name="OctDom1">DATE(Año_Calendario,10,1)-WEEKDAY(DATE(Año_Calendario,10,1))+1</definedName>
    <definedName name="SepDom1">DATE(Año_Calendario,9,1)-WEEKDAY(DATE(Año_Calendario,9,1))+1</definedName>
    <definedName name="TablaFechasImportantes" localSheetId="3">Abril!$L$4:$M$8</definedName>
    <definedName name="TablaFechasImportantes" localSheetId="7">Agosto!$L$4:$M$8</definedName>
    <definedName name="TablaFechasImportantes" localSheetId="11">Diciembre!$L$4:$M$8</definedName>
    <definedName name="TablaFechasImportantes" localSheetId="1">Febrero!$L$4:$M$8</definedName>
    <definedName name="TablaFechasImportantes" localSheetId="6">Julio!$L$4:$M$8</definedName>
    <definedName name="TablaFechasImportantes" localSheetId="5">Junio!$L$4:$M$8</definedName>
    <definedName name="TablaFechasImportantes" localSheetId="2">Marzo!$L$4:$M$8</definedName>
    <definedName name="TablaFechasImportantes" localSheetId="4">Mayo!$L$4:$M$8</definedName>
    <definedName name="TablaFechasImportantes" localSheetId="10">Noviembre!$L$4:$M$8</definedName>
    <definedName name="TablaFechasImportantes" localSheetId="9">Octubre!$L$4:$M$8</definedName>
    <definedName name="TablaFechasImportantes" localSheetId="8">Septiembre!$L$4:$M$8</definedName>
    <definedName name="TablaFechasImportantes">Enero!$L$4:$M$8</definedName>
  </definedName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9" i="8" l="1"/>
  <c r="H9" i="8"/>
  <c r="G9" i="8"/>
  <c r="F9" i="8"/>
  <c r="E9" i="8"/>
  <c r="D9" i="8"/>
  <c r="C9" i="8"/>
  <c r="I8" i="8"/>
  <c r="H8" i="8"/>
  <c r="G8" i="8"/>
  <c r="F8" i="8"/>
  <c r="E8" i="8"/>
  <c r="D8" i="8"/>
  <c r="C8" i="8"/>
  <c r="I7" i="8"/>
  <c r="H7" i="8"/>
  <c r="G7" i="8"/>
  <c r="F7" i="8"/>
  <c r="E7" i="8"/>
  <c r="D7" i="8"/>
  <c r="C7" i="8"/>
  <c r="I6" i="8"/>
  <c r="H6" i="8"/>
  <c r="G6" i="8"/>
  <c r="F6" i="8"/>
  <c r="E6" i="8"/>
  <c r="D6" i="8"/>
  <c r="C6" i="8"/>
  <c r="I5" i="8"/>
  <c r="H5" i="8"/>
  <c r="G5" i="8"/>
  <c r="F5" i="8"/>
  <c r="E5" i="8"/>
  <c r="D5" i="8"/>
  <c r="C5" i="8"/>
  <c r="I4" i="8"/>
  <c r="H4" i="8"/>
  <c r="G4" i="8"/>
  <c r="F4" i="8"/>
  <c r="E4" i="8"/>
  <c r="D4" i="8"/>
  <c r="C4" i="8"/>
  <c r="I9" i="16"/>
  <c r="H9" i="16"/>
  <c r="G9" i="16"/>
  <c r="F9" i="16"/>
  <c r="E9" i="16"/>
  <c r="D9" i="16"/>
  <c r="C9" i="16"/>
  <c r="I8" i="16"/>
  <c r="H8" i="16"/>
  <c r="G8" i="16"/>
  <c r="F8" i="16"/>
  <c r="E8" i="16"/>
  <c r="D8" i="16"/>
  <c r="C8" i="16"/>
  <c r="I7" i="16"/>
  <c r="H7" i="16"/>
  <c r="G7" i="16"/>
  <c r="F7" i="16"/>
  <c r="E7" i="16"/>
  <c r="D7" i="16"/>
  <c r="C7" i="16"/>
  <c r="I6" i="16"/>
  <c r="H6" i="16"/>
  <c r="G6" i="16"/>
  <c r="F6" i="16"/>
  <c r="E6" i="16"/>
  <c r="D6" i="16"/>
  <c r="C6" i="16"/>
  <c r="I5" i="16"/>
  <c r="H5" i="16"/>
  <c r="G5" i="16"/>
  <c r="F5" i="16"/>
  <c r="E5" i="16"/>
  <c r="D5" i="16"/>
  <c r="C5" i="16"/>
  <c r="I4" i="16"/>
  <c r="H4" i="16"/>
  <c r="G4" i="16"/>
  <c r="F4" i="16"/>
  <c r="E4" i="16"/>
  <c r="D4" i="16"/>
  <c r="C4" i="16"/>
  <c r="I9" i="15"/>
  <c r="H9" i="15"/>
  <c r="G9" i="15"/>
  <c r="F9" i="15"/>
  <c r="E9" i="15"/>
  <c r="D9" i="15"/>
  <c r="C9" i="15"/>
  <c r="I8" i="15"/>
  <c r="H8" i="15"/>
  <c r="G8" i="15"/>
  <c r="F8" i="15"/>
  <c r="E8" i="15"/>
  <c r="D8" i="15"/>
  <c r="C8" i="15"/>
  <c r="I7" i="15"/>
  <c r="H7" i="15"/>
  <c r="G7" i="15"/>
  <c r="F7" i="15"/>
  <c r="E7" i="15"/>
  <c r="D7" i="15"/>
  <c r="C7" i="15"/>
  <c r="I6" i="15"/>
  <c r="H6" i="15"/>
  <c r="G6" i="15"/>
  <c r="F6" i="15"/>
  <c r="E6" i="15"/>
  <c r="D6" i="15"/>
  <c r="C6" i="15"/>
  <c r="I5" i="15"/>
  <c r="H5" i="15"/>
  <c r="G5" i="15"/>
  <c r="F5" i="15"/>
  <c r="E5" i="15"/>
  <c r="D5" i="15"/>
  <c r="C5" i="15"/>
  <c r="I4" i="15"/>
  <c r="H4" i="15"/>
  <c r="G4" i="15"/>
  <c r="F4" i="15"/>
  <c r="E4" i="15"/>
  <c r="D4" i="15"/>
  <c r="C4" i="15"/>
  <c r="I9" i="14"/>
  <c r="H9" i="14"/>
  <c r="G9" i="14"/>
  <c r="F9" i="14"/>
  <c r="E9" i="14"/>
  <c r="D9" i="14"/>
  <c r="C9" i="14"/>
  <c r="I8" i="14"/>
  <c r="H8" i="14"/>
  <c r="G8" i="14"/>
  <c r="F8" i="14"/>
  <c r="E8" i="14"/>
  <c r="D8" i="14"/>
  <c r="C8" i="14"/>
  <c r="I7" i="14"/>
  <c r="H7" i="14"/>
  <c r="G7" i="14"/>
  <c r="F7" i="14"/>
  <c r="E7" i="14"/>
  <c r="D7" i="14"/>
  <c r="C7" i="14"/>
  <c r="I6" i="14"/>
  <c r="H6" i="14"/>
  <c r="G6" i="14"/>
  <c r="F6" i="14"/>
  <c r="E6" i="14"/>
  <c r="D6" i="14"/>
  <c r="C6" i="14"/>
  <c r="I5" i="14"/>
  <c r="H5" i="14"/>
  <c r="G5" i="14"/>
  <c r="F5" i="14"/>
  <c r="E5" i="14"/>
  <c r="D5" i="14"/>
  <c r="C5" i="14"/>
  <c r="I4" i="14"/>
  <c r="H4" i="14"/>
  <c r="G4" i="14"/>
  <c r="F4" i="14"/>
  <c r="E4" i="14"/>
  <c r="D4" i="14"/>
  <c r="C4" i="14"/>
  <c r="I9" i="13"/>
  <c r="H9" i="13"/>
  <c r="G9" i="13"/>
  <c r="F9" i="13"/>
  <c r="E9" i="13"/>
  <c r="D9" i="13"/>
  <c r="C9" i="13"/>
  <c r="I8" i="13"/>
  <c r="H8" i="13"/>
  <c r="G8" i="13"/>
  <c r="F8" i="13"/>
  <c r="E8" i="13"/>
  <c r="D8" i="13"/>
  <c r="C8" i="13"/>
  <c r="I7" i="13"/>
  <c r="H7" i="13"/>
  <c r="G7" i="13"/>
  <c r="F7" i="13"/>
  <c r="E7" i="13"/>
  <c r="D7" i="13"/>
  <c r="C7" i="13"/>
  <c r="I6" i="13"/>
  <c r="H6" i="13"/>
  <c r="G6" i="13"/>
  <c r="F6" i="13"/>
  <c r="E6" i="13"/>
  <c r="D6" i="13"/>
  <c r="C6" i="13"/>
  <c r="I5" i="13"/>
  <c r="H5" i="13"/>
  <c r="G5" i="13"/>
  <c r="F5" i="13"/>
  <c r="E5" i="13"/>
  <c r="D5" i="13"/>
  <c r="C5" i="13"/>
  <c r="I4" i="13"/>
  <c r="H4" i="13"/>
  <c r="G4" i="13"/>
  <c r="F4" i="13"/>
  <c r="E4" i="13"/>
  <c r="D4" i="13"/>
  <c r="C4" i="13"/>
  <c r="I9" i="12"/>
  <c r="H9" i="12"/>
  <c r="G9" i="12"/>
  <c r="F9" i="12"/>
  <c r="E9" i="12"/>
  <c r="D9" i="12"/>
  <c r="C9" i="12"/>
  <c r="I8" i="12"/>
  <c r="H8" i="12"/>
  <c r="G8" i="12"/>
  <c r="F8" i="12"/>
  <c r="E8" i="12"/>
  <c r="D8" i="12"/>
  <c r="C8" i="12"/>
  <c r="I7" i="12"/>
  <c r="H7" i="12"/>
  <c r="G7" i="12"/>
  <c r="F7" i="12"/>
  <c r="E7" i="12"/>
  <c r="D7" i="12"/>
  <c r="C7" i="12"/>
  <c r="I6" i="12"/>
  <c r="H6" i="12"/>
  <c r="G6" i="12"/>
  <c r="F6" i="12"/>
  <c r="E6" i="12"/>
  <c r="D6" i="12"/>
  <c r="C6" i="12"/>
  <c r="I5" i="12"/>
  <c r="H5" i="12"/>
  <c r="G5" i="12"/>
  <c r="F5" i="12"/>
  <c r="E5" i="12"/>
  <c r="D5" i="12"/>
  <c r="C5" i="12"/>
  <c r="I4" i="12"/>
  <c r="H4" i="12"/>
  <c r="G4" i="12"/>
  <c r="F4" i="12"/>
  <c r="E4" i="12"/>
  <c r="D4" i="12"/>
  <c r="C4" i="12"/>
  <c r="I9" i="11"/>
  <c r="H9" i="11"/>
  <c r="G9" i="11"/>
  <c r="F9" i="11"/>
  <c r="E9" i="11"/>
  <c r="D9" i="11"/>
  <c r="C9" i="11"/>
  <c r="I8" i="11"/>
  <c r="H8" i="11"/>
  <c r="G8" i="11"/>
  <c r="F8" i="11"/>
  <c r="E8" i="11"/>
  <c r="D8" i="11"/>
  <c r="C8" i="11"/>
  <c r="I7" i="11"/>
  <c r="H7" i="11"/>
  <c r="G7" i="11"/>
  <c r="F7" i="11"/>
  <c r="E7" i="11"/>
  <c r="D7" i="11"/>
  <c r="C7" i="11"/>
  <c r="I6" i="11"/>
  <c r="H6" i="11"/>
  <c r="G6" i="11"/>
  <c r="F6" i="11"/>
  <c r="E6" i="11"/>
  <c r="D6" i="11"/>
  <c r="C6" i="11"/>
  <c r="I5" i="11"/>
  <c r="H5" i="11"/>
  <c r="G5" i="11"/>
  <c r="F5" i="11"/>
  <c r="E5" i="11"/>
  <c r="D5" i="11"/>
  <c r="C5" i="11"/>
  <c r="I4" i="11"/>
  <c r="H4" i="11"/>
  <c r="G4" i="11"/>
  <c r="F4" i="11"/>
  <c r="E4" i="11"/>
  <c r="D4" i="11"/>
  <c r="C4" i="11"/>
  <c r="I9" i="10"/>
  <c r="H9" i="10"/>
  <c r="G9" i="10"/>
  <c r="F9" i="10"/>
  <c r="E9" i="10"/>
  <c r="D9" i="10"/>
  <c r="C9" i="10"/>
  <c r="I8" i="10"/>
  <c r="H8" i="10"/>
  <c r="G8" i="10"/>
  <c r="F8" i="10"/>
  <c r="E8" i="10"/>
  <c r="D8" i="10"/>
  <c r="C8" i="10"/>
  <c r="I7" i="10"/>
  <c r="H7" i="10"/>
  <c r="G7" i="10"/>
  <c r="F7" i="10"/>
  <c r="E7" i="10"/>
  <c r="D7" i="10"/>
  <c r="C7" i="10"/>
  <c r="I6" i="10"/>
  <c r="H6" i="10"/>
  <c r="G6" i="10"/>
  <c r="F6" i="10"/>
  <c r="E6" i="10"/>
  <c r="D6" i="10"/>
  <c r="C6" i="10"/>
  <c r="I5" i="10"/>
  <c r="H5" i="10"/>
  <c r="G5" i="10"/>
  <c r="F5" i="10"/>
  <c r="E5" i="10"/>
  <c r="D5" i="10"/>
  <c r="C5" i="10"/>
  <c r="I4" i="10"/>
  <c r="H4" i="10"/>
  <c r="G4" i="10"/>
  <c r="F4" i="10"/>
  <c r="E4" i="10"/>
  <c r="D4" i="10"/>
  <c r="C4" i="10"/>
  <c r="I9" i="9"/>
  <c r="H9" i="9"/>
  <c r="G9" i="9"/>
  <c r="F9" i="9"/>
  <c r="E9" i="9"/>
  <c r="D9" i="9"/>
  <c r="C9" i="9"/>
  <c r="I8" i="9"/>
  <c r="H8" i="9"/>
  <c r="G8" i="9"/>
  <c r="F8" i="9"/>
  <c r="E8" i="9"/>
  <c r="D8" i="9"/>
  <c r="C8" i="9"/>
  <c r="I7" i="9"/>
  <c r="H7" i="9"/>
  <c r="G7" i="9"/>
  <c r="F7" i="9"/>
  <c r="E7" i="9"/>
  <c r="D7" i="9"/>
  <c r="C7" i="9"/>
  <c r="I6" i="9"/>
  <c r="H6" i="9"/>
  <c r="G6" i="9"/>
  <c r="F6" i="9"/>
  <c r="E6" i="9"/>
  <c r="D6" i="9"/>
  <c r="C6" i="9"/>
  <c r="I5" i="9"/>
  <c r="H5" i="9"/>
  <c r="G5" i="9"/>
  <c r="F5" i="9"/>
  <c r="E5" i="9"/>
  <c r="D5" i="9"/>
  <c r="C5" i="9"/>
  <c r="I4" i="9"/>
  <c r="H4" i="9"/>
  <c r="G4" i="9"/>
  <c r="F4" i="9"/>
  <c r="E4" i="9"/>
  <c r="D4" i="9"/>
  <c r="C4" i="9"/>
  <c r="I9" i="7"/>
  <c r="H9" i="7"/>
  <c r="G9" i="7"/>
  <c r="F9" i="7"/>
  <c r="E9" i="7"/>
  <c r="D9" i="7"/>
  <c r="C9" i="7"/>
  <c r="I8" i="7"/>
  <c r="H8" i="7"/>
  <c r="G8" i="7"/>
  <c r="F8" i="7"/>
  <c r="E8" i="7"/>
  <c r="D8" i="7"/>
  <c r="C8" i="7"/>
  <c r="I7" i="7"/>
  <c r="H7" i="7"/>
  <c r="G7" i="7"/>
  <c r="F7" i="7"/>
  <c r="E7" i="7"/>
  <c r="D7" i="7"/>
  <c r="C7" i="7"/>
  <c r="I6" i="7"/>
  <c r="H6" i="7"/>
  <c r="G6" i="7"/>
  <c r="F6" i="7"/>
  <c r="E6" i="7"/>
  <c r="D6" i="7"/>
  <c r="C6" i="7"/>
  <c r="I5" i="7"/>
  <c r="H5" i="7"/>
  <c r="G5" i="7"/>
  <c r="F5" i="7"/>
  <c r="E5" i="7"/>
  <c r="D5" i="7"/>
  <c r="C5" i="7"/>
  <c r="I4" i="7"/>
  <c r="H4" i="7"/>
  <c r="G4" i="7"/>
  <c r="F4" i="7"/>
  <c r="E4" i="7"/>
  <c r="D4" i="7"/>
  <c r="C4" i="7"/>
  <c r="I9" i="6"/>
  <c r="H9" i="6"/>
  <c r="G9" i="6"/>
  <c r="F9" i="6"/>
  <c r="E9" i="6"/>
  <c r="D9" i="6"/>
  <c r="C9" i="6"/>
  <c r="I8" i="6"/>
  <c r="H8" i="6"/>
  <c r="G8" i="6"/>
  <c r="F8" i="6"/>
  <c r="E8" i="6"/>
  <c r="D8" i="6"/>
  <c r="C8" i="6"/>
  <c r="I7" i="6"/>
  <c r="H7" i="6"/>
  <c r="G7" i="6"/>
  <c r="F7" i="6"/>
  <c r="E7" i="6"/>
  <c r="D7" i="6"/>
  <c r="C7" i="6"/>
  <c r="I6" i="6"/>
  <c r="H6" i="6"/>
  <c r="G6" i="6"/>
  <c r="F6" i="6"/>
  <c r="E6" i="6"/>
  <c r="D6" i="6"/>
  <c r="C6" i="6"/>
  <c r="I5" i="6"/>
  <c r="H5" i="6"/>
  <c r="G5" i="6"/>
  <c r="F5" i="6"/>
  <c r="E5" i="6"/>
  <c r="D5" i="6"/>
  <c r="C5" i="6"/>
  <c r="I4" i="6"/>
  <c r="H4" i="6"/>
  <c r="G4" i="6"/>
  <c r="F4" i="6"/>
  <c r="E4" i="6"/>
  <c r="D4" i="6"/>
  <c r="C4" i="6"/>
  <c r="H4" i="1" l="1"/>
  <c r="I9" i="1" l="1"/>
  <c r="H9" i="1"/>
  <c r="G9" i="1"/>
  <c r="F9" i="1"/>
  <c r="E9" i="1"/>
  <c r="D9" i="1"/>
  <c r="C9" i="1"/>
  <c r="I8" i="1"/>
  <c r="H8" i="1"/>
  <c r="G8" i="1"/>
  <c r="F8" i="1"/>
  <c r="E8" i="1"/>
  <c r="D8" i="1"/>
  <c r="C8" i="1"/>
  <c r="I7" i="1"/>
  <c r="H7" i="1"/>
  <c r="G7" i="1"/>
  <c r="F7" i="1"/>
  <c r="E7" i="1"/>
  <c r="D7" i="1"/>
  <c r="C7" i="1"/>
  <c r="I6" i="1"/>
  <c r="H6" i="1"/>
  <c r="G6" i="1"/>
  <c r="F6" i="1"/>
  <c r="E6" i="1"/>
  <c r="D6" i="1"/>
  <c r="C6" i="1"/>
  <c r="I5" i="1"/>
  <c r="H5" i="1"/>
  <c r="G5" i="1"/>
  <c r="F5" i="1"/>
  <c r="E5" i="1"/>
  <c r="D5" i="1"/>
  <c r="C5" i="1"/>
  <c r="I4" i="1"/>
  <c r="G4" i="1"/>
  <c r="F4" i="1"/>
  <c r="E4" i="1"/>
  <c r="D4" i="1"/>
  <c r="C4" i="1"/>
</calcChain>
</file>

<file path=xl/sharedStrings.xml><?xml version="1.0" encoding="utf-8"?>
<sst xmlns="http://schemas.openxmlformats.org/spreadsheetml/2006/main" count="286" uniqueCount="63">
  <si>
    <t>S</t>
  </si>
  <si>
    <t>M</t>
  </si>
  <si>
    <t>8:00</t>
  </si>
  <si>
    <t>TAREAS</t>
  </si>
  <si>
    <t>ENERO</t>
  </si>
  <si>
    <t>L</t>
  </si>
  <si>
    <t>X</t>
  </si>
  <si>
    <t>J</t>
  </si>
  <si>
    <t>V</t>
  </si>
  <si>
    <t>D</t>
  </si>
  <si>
    <t>DICIEMBRE</t>
  </si>
  <si>
    <t>HORARIO SEMANAL</t>
  </si>
  <si>
    <t>LUN</t>
  </si>
  <si>
    <t>MAR</t>
  </si>
  <si>
    <t>MIÉ</t>
  </si>
  <si>
    <t>JUE</t>
  </si>
  <si>
    <t>VIE</t>
  </si>
  <si>
    <t>NOVIEMBRE</t>
  </si>
  <si>
    <t>OCTUBRE</t>
  </si>
  <si>
    <t>SEPTIEMBRE</t>
  </si>
  <si>
    <t>AGOSTO</t>
  </si>
  <si>
    <t>JULIO</t>
  </si>
  <si>
    <t>JUNIO</t>
  </si>
  <si>
    <t>MAYO</t>
  </si>
  <si>
    <t>ABRIL</t>
  </si>
  <si>
    <t>MARZO</t>
  </si>
  <si>
    <t>FEBRERO</t>
  </si>
  <si>
    <t>Entrega- Recepcion 2018-2021</t>
  </si>
  <si>
    <t>Acomodo Fisico del área de transparencia, concluye E-R de área.</t>
  </si>
  <si>
    <t>Nota:  las actividades frecuentes de la unidad de Transparencia son: contestar solicitudes de informacion, proteccion de datos personales, solucion a Recursos,asesoria a áreas del ayuntamiento, comunicación con el ITEI, estadisticas.</t>
  </si>
  <si>
    <t>Escacneo de docuementos de E-R y versiones publicas para pag. Web de ayuntamiento</t>
  </si>
  <si>
    <t>I S.Extraordinaria de Comité de transparencia, documentos para tramites ante ITEI y Gobierno del Estado de Jalisco.</t>
  </si>
  <si>
    <t>salida laboral todos los viernes a las 12:00  por estudio de especialidad en Transparencia por parte del  ITEI.</t>
  </si>
  <si>
    <t>llamada al itei por falla en infomex</t>
  </si>
  <si>
    <t>Asesoria  a regidores en materia de Transparencia y solicitudes</t>
  </si>
  <si>
    <t xml:space="preserve">Entrega de Obeservaciones de E-R al Organo de Control interno  </t>
  </si>
  <si>
    <t>Revision fisica de Observaciones de E-R con personal saliente admon 2015-2018</t>
  </si>
  <si>
    <t xml:space="preserve">2da. Parte de Curso de Capacitacion </t>
  </si>
  <si>
    <t>Capacitacion de "Generalidades de Transparencia a los municipios"</t>
  </si>
  <si>
    <t>Entrega de Declaracion Patrimonial para Revision</t>
  </si>
  <si>
    <t xml:space="preserve">Reunion con equipo de trabajo </t>
  </si>
  <si>
    <t>1er. Acercamiento con ITEI para convenio.</t>
  </si>
  <si>
    <t xml:space="preserve">inicios de propuesta del  nuevo reglamento de transparencia </t>
  </si>
  <si>
    <t>estadisticos de Septiembre</t>
  </si>
  <si>
    <t>organización docuemntal del área</t>
  </si>
  <si>
    <t>entrega de oficios de PNT con clave y contraseña</t>
  </si>
  <si>
    <t xml:space="preserve">oficios p/servidores  de cada mes y de PNT </t>
  </si>
  <si>
    <t>enterga de documentos de Transparencia en el ITEI</t>
  </si>
  <si>
    <t>reunion de trabajo</t>
  </si>
  <si>
    <t>arreglo de fallas por medio de ITEI en plataformas</t>
  </si>
  <si>
    <t>II Sesion Extraordinaria de Comité de Transparencia, capacitacion art. 8 y 15</t>
  </si>
  <si>
    <t>contestacion de oficios al ITEI RR 1931</t>
  </si>
  <si>
    <t>contestacion de oficios al ITEI RR 1930</t>
  </si>
  <si>
    <t>Asignacion y actualizacion de PNT y contestacion de oficios al ITEI RR 2130</t>
  </si>
  <si>
    <t xml:space="preserve">actualizacion de Pagina web </t>
  </si>
  <si>
    <t xml:space="preserve"> </t>
  </si>
  <si>
    <t>III S.E. Comité de transparencia.</t>
  </si>
  <si>
    <t>Elaboracion de Avisos de Privacidad</t>
  </si>
  <si>
    <t>Escaneo 2018</t>
  </si>
  <si>
    <t>Folio de 2018</t>
  </si>
  <si>
    <t>Suspencioin de Terminos por parte de ITEI y Ayuntamiento</t>
  </si>
  <si>
    <t>informe anual de Actividades al ITEI</t>
  </si>
  <si>
    <t>informe trimestral  de Actividades al comunicación social y presidente.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</si>
</sst>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"/>
  </numFmts>
  <fonts count="39" x14ac:knownFonts="1">
    <font>
      <sz val="10"/>
      <color theme="1"/>
      <name val="Arial"/>
      <family val="2"/>
      <scheme val="minor"/>
    </font>
    <font>
      <sz val="12"/>
      <color rgb="FF002060"/>
      <name val="Arial"/>
      <family val="2"/>
      <scheme val="minor"/>
    </font>
    <font>
      <sz val="8"/>
      <name val="Arial"/>
      <family val="2"/>
      <scheme val="minor"/>
    </font>
    <font>
      <b/>
      <sz val="11"/>
      <color theme="0"/>
      <name val="Arial"/>
      <family val="2"/>
      <scheme val="minor"/>
    </font>
    <font>
      <sz val="11"/>
      <name val="Arial"/>
      <family val="2"/>
      <scheme val="minor"/>
    </font>
    <font>
      <sz val="10"/>
      <color indexed="63"/>
      <name val="Arial"/>
      <family val="4"/>
      <scheme val="minor"/>
    </font>
    <font>
      <b/>
      <sz val="28"/>
      <color theme="1" tint="0.34998626667073579"/>
      <name val="Arial"/>
      <family val="2"/>
      <scheme val="minor"/>
    </font>
    <font>
      <sz val="12"/>
      <color theme="4"/>
      <name val="Arial"/>
      <family val="2"/>
      <scheme val="major"/>
    </font>
    <font>
      <sz val="10"/>
      <color theme="1"/>
      <name val="Arial"/>
      <family val="2"/>
      <scheme val="major"/>
    </font>
    <font>
      <b/>
      <sz val="12"/>
      <color theme="4"/>
      <name val="Arial"/>
      <family val="2"/>
      <scheme val="major"/>
    </font>
    <font>
      <b/>
      <sz val="10"/>
      <color theme="1"/>
      <name val="Arial"/>
      <family val="2"/>
      <scheme val="minor"/>
    </font>
    <font>
      <b/>
      <sz val="12"/>
      <color theme="4"/>
      <name val="Arial"/>
      <family val="2"/>
      <scheme val="minor"/>
    </font>
    <font>
      <sz val="10"/>
      <color theme="0"/>
      <name val="Arial"/>
      <family val="2"/>
      <scheme val="minor"/>
    </font>
    <font>
      <b/>
      <sz val="17"/>
      <color theme="4"/>
      <name val="Arial"/>
      <family val="4"/>
      <scheme val="minor"/>
    </font>
    <font>
      <b/>
      <sz val="8.5"/>
      <color theme="1"/>
      <name val="Arial"/>
      <family val="2"/>
      <scheme val="minor"/>
    </font>
    <font>
      <sz val="8.5"/>
      <color theme="1"/>
      <name val="Arial"/>
      <family val="2"/>
      <scheme val="minor"/>
    </font>
    <font>
      <b/>
      <sz val="17"/>
      <color theme="4"/>
      <name val="Arial"/>
      <family val="2"/>
      <scheme val="major"/>
    </font>
    <font>
      <b/>
      <sz val="8.5"/>
      <color theme="1"/>
      <name val="Arial"/>
      <family val="2"/>
      <scheme val="major"/>
    </font>
    <font>
      <sz val="10"/>
      <color theme="1" tint="0.249977111117893"/>
      <name val="Arial"/>
      <family val="2"/>
      <scheme val="minor"/>
    </font>
    <font>
      <sz val="12"/>
      <color theme="1" tint="0.249977111117893"/>
      <name val="Arial"/>
      <family val="2"/>
      <scheme val="minor"/>
    </font>
    <font>
      <sz val="10.5"/>
      <color theme="1" tint="0.249977111117893"/>
      <name val="Arial"/>
      <family val="2"/>
      <scheme val="minor"/>
    </font>
    <font>
      <b/>
      <sz val="10.5"/>
      <name val="Arial"/>
      <family val="2"/>
      <scheme val="minor"/>
    </font>
    <font>
      <b/>
      <sz val="24"/>
      <color theme="4"/>
      <name val="Arial"/>
      <family val="2"/>
      <scheme val="major"/>
    </font>
    <font>
      <sz val="10"/>
      <color rgb="FFFF0000"/>
      <name val="Arial"/>
      <family val="2"/>
      <scheme val="minor"/>
    </font>
    <font>
      <b/>
      <sz val="24"/>
      <color rgb="FFFF0000"/>
      <name val="Arial"/>
      <family val="2"/>
      <scheme val="major"/>
    </font>
    <font>
      <b/>
      <sz val="17"/>
      <color rgb="FFFF0000"/>
      <name val="Arial"/>
      <family val="2"/>
      <scheme val="major"/>
    </font>
    <font>
      <sz val="10"/>
      <color rgb="FFFF0000"/>
      <name val="Arial"/>
      <family val="2"/>
      <scheme val="major"/>
    </font>
    <font>
      <sz val="10.5"/>
      <color rgb="FFFF0000"/>
      <name val="Arial"/>
      <family val="2"/>
      <scheme val="minor"/>
    </font>
    <font>
      <b/>
      <sz val="12"/>
      <color rgb="FFFF0000"/>
      <name val="Arial"/>
      <family val="2"/>
      <scheme val="major"/>
    </font>
    <font>
      <b/>
      <sz val="10"/>
      <color rgb="FFFF0000"/>
      <name val="Arial"/>
      <family val="2"/>
      <scheme val="minor"/>
    </font>
    <font>
      <b/>
      <sz val="10.5"/>
      <color rgb="FFFF0000"/>
      <name val="Arial"/>
      <family val="2"/>
      <scheme val="minor"/>
    </font>
    <font>
      <b/>
      <sz val="12"/>
      <color rgb="FFFF0000"/>
      <name val="Arial"/>
      <family val="2"/>
      <scheme val="minor"/>
    </font>
    <font>
      <b/>
      <sz val="8.5"/>
      <color rgb="FFFF0000"/>
      <name val="Arial"/>
      <family val="2"/>
      <scheme val="minor"/>
    </font>
    <font>
      <sz val="8.5"/>
      <color rgb="FFFF0000"/>
      <name val="Arial"/>
      <family val="2"/>
      <scheme val="minor"/>
    </font>
    <font>
      <sz val="12"/>
      <color rgb="FFFF0000"/>
      <name val="Arial"/>
      <family val="2"/>
      <scheme val="major"/>
    </font>
    <font>
      <sz val="12"/>
      <color rgb="FFFF0000"/>
      <name val="Arial"/>
      <family val="2"/>
      <scheme val="minor"/>
    </font>
    <font>
      <b/>
      <sz val="10"/>
      <name val="Arial"/>
      <family val="2"/>
      <scheme val="minor"/>
    </font>
    <font>
      <sz val="10"/>
      <name val="Arial"/>
      <family val="2"/>
      <scheme val="minor"/>
    </font>
    <font>
      <sz val="12"/>
      <name val="Arial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/>
        <bgColor indexed="64"/>
      </patternFill>
    </fill>
    <fill>
      <patternFill patternType="solid">
        <fgColor theme="0" tint="-4.9989318521683403E-2"/>
        <bgColor indexed="64"/>
      </patternFill>
    </fill>
  </fills>
  <borders count="47">
    <border>
      <left/>
      <right/>
      <top/>
      <bottom/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/>
      <right/>
      <top/>
      <bottom style="thin">
        <color theme="5"/>
      </bottom>
      <diagonal/>
    </border>
    <border>
      <left/>
      <right/>
      <top style="thin">
        <color theme="5"/>
      </top>
      <bottom style="thin">
        <color theme="5"/>
      </bottom>
      <diagonal/>
    </border>
    <border>
      <left/>
      <right/>
      <top/>
      <bottom style="thin">
        <color theme="4" tint="0.79998168889431442"/>
      </bottom>
      <diagonal/>
    </border>
    <border>
      <left/>
      <right/>
      <top style="thin">
        <color theme="5"/>
      </top>
      <bottom style="thin">
        <color theme="4" tint="0.79998168889431442"/>
      </bottom>
      <diagonal/>
    </border>
    <border>
      <left/>
      <right style="thin">
        <color theme="0"/>
      </right>
      <top/>
      <bottom/>
      <diagonal/>
    </border>
    <border>
      <left style="thin">
        <color theme="4" tint="0.79998168889431442"/>
      </left>
      <right/>
      <top/>
      <bottom/>
      <diagonal/>
    </border>
    <border>
      <left style="thin">
        <color theme="4" tint="0.79998168889431442"/>
      </left>
      <right style="thin">
        <color theme="0"/>
      </right>
      <top/>
      <bottom/>
      <diagonal/>
    </border>
    <border>
      <left/>
      <right style="thin">
        <color theme="4" tint="0.79998168889431442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4" tint="0.79998168889431442"/>
      </left>
      <right style="thin">
        <color theme="0"/>
      </right>
      <top/>
      <bottom style="thin">
        <color theme="4" tint="0.79995117038483843"/>
      </bottom>
      <diagonal/>
    </border>
    <border>
      <left style="thin">
        <color theme="0"/>
      </left>
      <right/>
      <top/>
      <bottom style="thin">
        <color theme="4" tint="0.79995117038483843"/>
      </bottom>
      <diagonal/>
    </border>
    <border>
      <left/>
      <right style="thin">
        <color theme="0"/>
      </right>
      <top/>
      <bottom style="thin">
        <color theme="4" tint="0.79995117038483843"/>
      </bottom>
      <diagonal/>
    </border>
    <border>
      <left/>
      <right/>
      <top/>
      <bottom style="thin">
        <color theme="4" tint="0.79995117038483843"/>
      </bottom>
      <diagonal/>
    </border>
    <border>
      <left/>
      <right style="thin">
        <color theme="4" tint="0.79992065187536243"/>
      </right>
      <top/>
      <bottom style="thin">
        <color theme="4" tint="0.79995117038483843"/>
      </bottom>
      <diagonal/>
    </border>
    <border>
      <left/>
      <right style="thin">
        <color theme="4" tint="0.79992065187536243"/>
      </right>
      <top/>
      <bottom/>
      <diagonal/>
    </border>
    <border>
      <left/>
      <right/>
      <top style="thin">
        <color theme="4" tint="0.79998168889431442"/>
      </top>
      <bottom style="thin">
        <color theme="5"/>
      </bottom>
      <diagonal/>
    </border>
    <border>
      <left/>
      <right style="thin">
        <color theme="4" tint="0.79995117038483843"/>
      </right>
      <top style="thin">
        <color theme="5"/>
      </top>
      <bottom style="thin">
        <color theme="5"/>
      </bottom>
      <diagonal/>
    </border>
    <border>
      <left/>
      <right style="thin">
        <color theme="4" tint="0.79995117038483843"/>
      </right>
      <top style="thin">
        <color theme="4" tint="0.79998168889431442"/>
      </top>
      <bottom style="thin">
        <color theme="5"/>
      </bottom>
      <diagonal/>
    </border>
    <border>
      <left/>
      <right style="thin">
        <color theme="4" tint="0.79995117038483843"/>
      </right>
      <top style="thin">
        <color theme="5"/>
      </top>
      <bottom style="thin">
        <color theme="4" tint="0.79998168889431442"/>
      </bottom>
      <diagonal/>
    </border>
    <border>
      <left style="thin">
        <color theme="4" tint="0.79998168889431442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4" tint="0.79998168889431442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4" tint="0.79992065187536243"/>
      </right>
      <top/>
      <bottom style="thin">
        <color theme="0"/>
      </bottom>
      <diagonal/>
    </border>
    <border>
      <left/>
      <right style="thin">
        <color theme="4" tint="0.79992065187536243"/>
      </right>
      <top style="thin">
        <color theme="0"/>
      </top>
      <bottom/>
      <diagonal/>
    </border>
    <border>
      <left style="thin">
        <color theme="4" tint="0.79992065187536243"/>
      </left>
      <right/>
      <top/>
      <bottom/>
      <diagonal/>
    </border>
    <border>
      <left style="thin">
        <color theme="4" tint="0.79992065187536243"/>
      </left>
      <right/>
      <top/>
      <bottom style="thin">
        <color theme="4" tint="0.79989013336588644"/>
      </bottom>
      <diagonal/>
    </border>
    <border>
      <left/>
      <right/>
      <top/>
      <bottom style="thin">
        <color theme="4" tint="0.79989013336588644"/>
      </bottom>
      <diagonal/>
    </border>
    <border>
      <left/>
      <right style="thin">
        <color theme="4" tint="0.79989013336588644"/>
      </right>
      <top/>
      <bottom style="thin">
        <color theme="4" tint="0.79989013336588644"/>
      </bottom>
      <diagonal/>
    </border>
    <border>
      <left style="thin">
        <color theme="4" tint="0.79992065187536243"/>
      </left>
      <right/>
      <top style="thin">
        <color theme="4" tint="0.79989013336588644"/>
      </top>
      <bottom/>
      <diagonal/>
    </border>
    <border>
      <left/>
      <right/>
      <top style="thin">
        <color theme="4" tint="0.79989013336588644"/>
      </top>
      <bottom/>
      <diagonal/>
    </border>
    <border>
      <left/>
      <right style="thin">
        <color theme="4" tint="0.79989013336588644"/>
      </right>
      <top style="thin">
        <color theme="4" tint="0.79989013336588644"/>
      </top>
      <bottom/>
      <diagonal/>
    </border>
    <border>
      <left style="thin">
        <color theme="4" tint="0.79992065187536243"/>
      </left>
      <right/>
      <top style="thin">
        <color theme="4" tint="0.79998168889431442"/>
      </top>
      <bottom/>
      <diagonal/>
    </border>
    <border>
      <left/>
      <right/>
      <top style="thin">
        <color theme="4" tint="0.79989013336588644"/>
      </top>
      <bottom style="thin">
        <color theme="5"/>
      </bottom>
      <diagonal/>
    </border>
    <border>
      <left/>
      <right style="thin">
        <color theme="4" tint="0.79995117038483843"/>
      </right>
      <top style="thin">
        <color theme="4" tint="0.79989013336588644"/>
      </top>
      <bottom style="thin">
        <color theme="5"/>
      </bottom>
      <diagonal/>
    </border>
    <border>
      <left style="thin">
        <color theme="4" tint="0.79998168889431442"/>
      </left>
      <right/>
      <top style="thin">
        <color theme="4" tint="0.79995117038483843"/>
      </top>
      <bottom/>
      <diagonal/>
    </border>
    <border>
      <left/>
      <right/>
      <top style="thin">
        <color theme="4" tint="0.79995117038483843"/>
      </top>
      <bottom/>
      <diagonal/>
    </border>
    <border>
      <left/>
      <right style="thin">
        <color theme="4" tint="0.79992065187536243"/>
      </right>
      <top style="thin">
        <color theme="4" tint="0.79995117038483843"/>
      </top>
      <bottom/>
      <diagonal/>
    </border>
    <border>
      <left style="thin">
        <color theme="4" tint="0.79998168889431442"/>
      </left>
      <right/>
      <top/>
      <bottom style="thin">
        <color theme="4" tint="0.79995117038483843"/>
      </bottom>
      <diagonal/>
    </border>
    <border>
      <left/>
      <right style="thin">
        <color theme="4" tint="0.79985961485641044"/>
      </right>
      <top style="thin">
        <color theme="4" tint="0.79985961485641044"/>
      </top>
      <bottom/>
      <diagonal/>
    </border>
    <border>
      <left/>
      <right style="thin">
        <color theme="4" tint="0.79985961485641044"/>
      </right>
      <top/>
      <bottom style="thin">
        <color theme="4" tint="0.79989013336588644"/>
      </bottom>
      <diagonal/>
    </border>
    <border>
      <left style="thin">
        <color theme="4" tint="0.79998168889431442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</borders>
  <cellStyleXfs count="5">
    <xf numFmtId="0" fontId="0" fillId="0" borderId="0"/>
    <xf numFmtId="0" fontId="4" fillId="0" borderId="0"/>
    <xf numFmtId="0" fontId="3" fillId="2" borderId="1" applyNumberFormat="0" applyAlignment="0" applyProtection="0"/>
    <xf numFmtId="0" fontId="5" fillId="3" borderId="0" applyNumberFormat="0" applyBorder="0" applyAlignment="0" applyProtection="0"/>
    <xf numFmtId="0" fontId="6" fillId="0" borderId="0" applyNumberFormat="0" applyFill="0" applyAlignment="0" applyProtection="0"/>
  </cellStyleXfs>
  <cellXfs count="168">
    <xf numFmtId="0" fontId="0" fillId="0" borderId="0" xfId="0"/>
    <xf numFmtId="0" fontId="0" fillId="0" borderId="0" xfId="0" applyFont="1"/>
    <xf numFmtId="0" fontId="8" fillId="0" borderId="0" xfId="0" applyFont="1" applyFill="1" applyBorder="1" applyAlignment="1">
      <alignment horizontal="center" vertical="center"/>
    </xf>
    <xf numFmtId="0" fontId="12" fillId="4" borderId="8" xfId="0" applyFont="1" applyFill="1" applyBorder="1" applyAlignment="1">
      <alignment horizontal="left" indent="1"/>
    </xf>
    <xf numFmtId="0" fontId="0" fillId="0" borderId="9" xfId="0" applyFont="1" applyBorder="1"/>
    <xf numFmtId="0" fontId="0" fillId="0" borderId="16" xfId="0" applyFont="1" applyBorder="1"/>
    <xf numFmtId="0" fontId="15" fillId="5" borderId="21" xfId="0" applyFont="1" applyFill="1" applyBorder="1" applyAlignment="1">
      <alignment horizontal="left" vertical="top" indent="1"/>
    </xf>
    <xf numFmtId="0" fontId="15" fillId="5" borderId="11" xfId="0" applyFont="1" applyFill="1" applyBorder="1" applyAlignment="1">
      <alignment horizontal="left" vertical="top" indent="1"/>
    </xf>
    <xf numFmtId="49" fontId="14" fillId="5" borderId="8" xfId="0" applyNumberFormat="1" applyFont="1" applyFill="1" applyBorder="1" applyAlignment="1">
      <alignment horizontal="left" indent="1"/>
    </xf>
    <xf numFmtId="49" fontId="14" fillId="5" borderId="24" xfId="0" applyNumberFormat="1" applyFont="1" applyFill="1" applyBorder="1" applyAlignment="1">
      <alignment horizontal="left" indent="1"/>
    </xf>
    <xf numFmtId="164" fontId="20" fillId="0" borderId="0" xfId="0" applyNumberFormat="1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right" vertical="center" textRotation="90"/>
    </xf>
    <xf numFmtId="0" fontId="10" fillId="0" borderId="0" xfId="0" applyFont="1" applyBorder="1" applyAlignment="1">
      <alignment horizontal="right" vertical="center"/>
    </xf>
    <xf numFmtId="0" fontId="10" fillId="0" borderId="4" xfId="0" applyFont="1" applyBorder="1" applyAlignment="1">
      <alignment horizontal="right" vertical="center"/>
    </xf>
    <xf numFmtId="0" fontId="7" fillId="0" borderId="0" xfId="0" applyFont="1" applyBorder="1" applyAlignment="1">
      <alignment horizontal="right" vertical="center" textRotation="90"/>
    </xf>
    <xf numFmtId="164" fontId="1" fillId="0" borderId="14" xfId="0" applyNumberFormat="1" applyFont="1" applyFill="1" applyBorder="1" applyAlignment="1">
      <alignment horizontal="right" vertical="center"/>
    </xf>
    <xf numFmtId="0" fontId="10" fillId="0" borderId="2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164" fontId="10" fillId="0" borderId="14" xfId="0" applyNumberFormat="1" applyFont="1" applyFill="1" applyBorder="1" applyAlignment="1">
      <alignment horizontal="center"/>
    </xf>
    <xf numFmtId="0" fontId="0" fillId="0" borderId="40" xfId="0" applyFont="1" applyBorder="1"/>
    <xf numFmtId="0" fontId="0" fillId="0" borderId="41" xfId="0" applyFont="1" applyBorder="1"/>
    <xf numFmtId="164" fontId="21" fillId="0" borderId="14" xfId="0" applyNumberFormat="1" applyFont="1" applyFill="1" applyBorder="1" applyAlignment="1">
      <alignment horizontal="left" vertical="center" wrapText="1" indent="1"/>
    </xf>
    <xf numFmtId="0" fontId="0" fillId="0" borderId="15" xfId="0" applyFont="1" applyBorder="1"/>
    <xf numFmtId="0" fontId="0" fillId="0" borderId="43" xfId="0" applyFont="1" applyBorder="1"/>
    <xf numFmtId="0" fontId="0" fillId="0" borderId="44" xfId="0" applyFont="1" applyBorder="1"/>
    <xf numFmtId="0" fontId="23" fillId="0" borderId="0" xfId="0" applyFont="1"/>
    <xf numFmtId="0" fontId="23" fillId="0" borderId="9" xfId="0" applyFont="1" applyBorder="1"/>
    <xf numFmtId="0" fontId="23" fillId="0" borderId="40" xfId="0" applyFont="1" applyBorder="1"/>
    <xf numFmtId="0" fontId="23" fillId="0" borderId="41" xfId="0" applyFont="1" applyBorder="1"/>
    <xf numFmtId="0" fontId="23" fillId="0" borderId="43" xfId="0" applyFont="1" applyBorder="1"/>
    <xf numFmtId="0" fontId="26" fillId="0" borderId="0" xfId="0" applyFont="1" applyFill="1" applyBorder="1" applyAlignment="1">
      <alignment horizontal="center" vertical="center"/>
    </xf>
    <xf numFmtId="0" fontId="23" fillId="0" borderId="16" xfId="0" applyFont="1" applyBorder="1"/>
    <xf numFmtId="0" fontId="23" fillId="0" borderId="44" xfId="0" applyFont="1" applyBorder="1"/>
    <xf numFmtId="164" fontId="27" fillId="0" borderId="0" xfId="0" applyNumberFormat="1" applyFont="1" applyFill="1" applyBorder="1" applyAlignment="1">
      <alignment horizontal="center" vertical="center" wrapText="1"/>
    </xf>
    <xf numFmtId="0" fontId="29" fillId="0" borderId="3" xfId="0" applyFont="1" applyBorder="1" applyAlignment="1">
      <alignment horizontal="center"/>
    </xf>
    <xf numFmtId="0" fontId="28" fillId="0" borderId="0" xfId="0" applyFont="1" applyBorder="1" applyAlignment="1">
      <alignment horizontal="right" vertical="center" textRotation="90"/>
    </xf>
    <xf numFmtId="0" fontId="29" fillId="0" borderId="0" xfId="0" applyFont="1" applyBorder="1" applyAlignment="1">
      <alignment horizontal="right" vertical="center"/>
    </xf>
    <xf numFmtId="164" fontId="30" fillId="0" borderId="14" xfId="0" applyNumberFormat="1" applyFont="1" applyFill="1" applyBorder="1" applyAlignment="1">
      <alignment horizontal="left" vertical="center" wrapText="1" indent="1"/>
    </xf>
    <xf numFmtId="0" fontId="23" fillId="0" borderId="15" xfId="0" applyFont="1" applyBorder="1"/>
    <xf numFmtId="0" fontId="23" fillId="4" borderId="8" xfId="0" applyFont="1" applyFill="1" applyBorder="1" applyAlignment="1">
      <alignment horizontal="left" indent="1"/>
    </xf>
    <xf numFmtId="49" fontId="32" fillId="5" borderId="8" xfId="0" applyNumberFormat="1" applyFont="1" applyFill="1" applyBorder="1" applyAlignment="1">
      <alignment horizontal="left" indent="1"/>
    </xf>
    <xf numFmtId="0" fontId="33" fillId="5" borderId="21" xfId="0" applyFont="1" applyFill="1" applyBorder="1" applyAlignment="1">
      <alignment horizontal="left" vertical="top" indent="1"/>
    </xf>
    <xf numFmtId="0" fontId="29" fillId="0" borderId="4" xfId="0" applyFont="1" applyBorder="1" applyAlignment="1">
      <alignment horizontal="right" vertical="center"/>
    </xf>
    <xf numFmtId="49" fontId="32" fillId="5" borderId="24" xfId="0" applyNumberFormat="1" applyFont="1" applyFill="1" applyBorder="1" applyAlignment="1">
      <alignment horizontal="left" indent="1"/>
    </xf>
    <xf numFmtId="0" fontId="34" fillId="0" borderId="0" xfId="0" applyFont="1" applyBorder="1" applyAlignment="1">
      <alignment horizontal="right" vertical="center" textRotation="90"/>
    </xf>
    <xf numFmtId="0" fontId="33" fillId="5" borderId="11" xfId="0" applyFont="1" applyFill="1" applyBorder="1" applyAlignment="1">
      <alignment horizontal="left" vertical="top" indent="1"/>
    </xf>
    <xf numFmtId="164" fontId="35" fillId="0" borderId="14" xfId="0" applyNumberFormat="1" applyFont="1" applyFill="1" applyBorder="1" applyAlignment="1">
      <alignment horizontal="right" vertical="center"/>
    </xf>
    <xf numFmtId="164" fontId="29" fillId="0" borderId="14" xfId="0" applyNumberFormat="1" applyFont="1" applyFill="1" applyBorder="1" applyAlignment="1">
      <alignment horizontal="center"/>
    </xf>
    <xf numFmtId="0" fontId="36" fillId="0" borderId="2" xfId="0" applyFont="1" applyBorder="1" applyAlignment="1">
      <alignment horizontal="center"/>
    </xf>
    <xf numFmtId="0" fontId="36" fillId="0" borderId="3" xfId="0" applyFont="1" applyBorder="1" applyAlignment="1">
      <alignment horizontal="center"/>
    </xf>
    <xf numFmtId="0" fontId="36" fillId="0" borderId="5" xfId="0" applyFont="1" applyBorder="1" applyAlignment="1">
      <alignment horizontal="center"/>
    </xf>
    <xf numFmtId="0" fontId="36" fillId="0" borderId="4" xfId="0" applyFont="1" applyBorder="1" applyAlignment="1">
      <alignment horizontal="center"/>
    </xf>
    <xf numFmtId="164" fontId="36" fillId="0" borderId="14" xfId="0" applyNumberFormat="1" applyFont="1" applyFill="1" applyBorder="1" applyAlignment="1">
      <alignment horizontal="center"/>
    </xf>
    <xf numFmtId="0" fontId="37" fillId="0" borderId="18" xfId="0" applyFont="1" applyBorder="1" applyAlignment="1"/>
    <xf numFmtId="0" fontId="37" fillId="0" borderId="3" xfId="0" applyFont="1" applyBorder="1" applyAlignment="1">
      <alignment wrapText="1"/>
    </xf>
    <xf numFmtId="0" fontId="37" fillId="0" borderId="0" xfId="0" applyFont="1"/>
    <xf numFmtId="0" fontId="22" fillId="0" borderId="39" xfId="0" applyFont="1" applyFill="1" applyBorder="1" applyAlignment="1">
      <alignment horizontal="center" vertical="center" textRotation="90"/>
    </xf>
    <xf numFmtId="0" fontId="22" fillId="0" borderId="7" xfId="0" applyFont="1" applyFill="1" applyBorder="1" applyAlignment="1">
      <alignment horizontal="center" vertical="center" textRotation="90"/>
    </xf>
    <xf numFmtId="0" fontId="22" fillId="0" borderId="42" xfId="0" applyFont="1" applyFill="1" applyBorder="1" applyAlignment="1">
      <alignment horizontal="center" vertical="center" textRotation="90"/>
    </xf>
    <xf numFmtId="0" fontId="11" fillId="0" borderId="7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16" xfId="0" applyFont="1" applyBorder="1" applyAlignment="1">
      <alignment horizontal="left" vertical="center"/>
    </xf>
    <xf numFmtId="0" fontId="18" fillId="0" borderId="3" xfId="0" applyFont="1" applyBorder="1" applyAlignment="1">
      <alignment horizontal="left"/>
    </xf>
    <xf numFmtId="0" fontId="18" fillId="0" borderId="18" xfId="0" applyFont="1" applyBorder="1" applyAlignment="1">
      <alignment horizontal="left"/>
    </xf>
    <xf numFmtId="164" fontId="19" fillId="0" borderId="5" xfId="0" applyNumberFormat="1" applyFont="1" applyFill="1" applyBorder="1" applyAlignment="1">
      <alignment horizontal="left"/>
    </xf>
    <xf numFmtId="164" fontId="19" fillId="0" borderId="20" xfId="0" applyNumberFormat="1" applyFont="1" applyFill="1" applyBorder="1" applyAlignment="1">
      <alignment horizontal="left"/>
    </xf>
    <xf numFmtId="0" fontId="18" fillId="0" borderId="5" xfId="0" applyFont="1" applyBorder="1" applyAlignment="1">
      <alignment horizontal="left"/>
    </xf>
    <xf numFmtId="0" fontId="18" fillId="0" borderId="20" xfId="0" applyFont="1" applyBorder="1" applyAlignment="1">
      <alignment horizontal="left"/>
    </xf>
    <xf numFmtId="0" fontId="18" fillId="0" borderId="17" xfId="0" applyFont="1" applyBorder="1" applyAlignment="1">
      <alignment horizontal="left"/>
    </xf>
    <xf numFmtId="0" fontId="18" fillId="0" borderId="19" xfId="0" applyFont="1" applyBorder="1" applyAlignment="1">
      <alignment horizontal="left"/>
    </xf>
    <xf numFmtId="49" fontId="14" fillId="5" borderId="10" xfId="0" applyNumberFormat="1" applyFont="1" applyFill="1" applyBorder="1" applyAlignment="1">
      <alignment horizontal="left" indent="1"/>
    </xf>
    <xf numFmtId="49" fontId="14" fillId="5" borderId="6" xfId="0" applyNumberFormat="1" applyFont="1" applyFill="1" applyBorder="1" applyAlignment="1">
      <alignment horizontal="left" indent="1"/>
    </xf>
    <xf numFmtId="0" fontId="15" fillId="5" borderId="22" xfId="0" applyFont="1" applyFill="1" applyBorder="1" applyAlignment="1">
      <alignment horizontal="left" vertical="top" indent="1"/>
    </xf>
    <xf numFmtId="0" fontId="15" fillId="5" borderId="23" xfId="0" applyFont="1" applyFill="1" applyBorder="1" applyAlignment="1">
      <alignment horizontal="left" vertical="top" indent="1"/>
    </xf>
    <xf numFmtId="0" fontId="15" fillId="5" borderId="12" xfId="0" applyFont="1" applyFill="1" applyBorder="1" applyAlignment="1">
      <alignment horizontal="left" vertical="top" indent="1"/>
    </xf>
    <xf numFmtId="0" fontId="15" fillId="5" borderId="13" xfId="0" applyFont="1" applyFill="1" applyBorder="1" applyAlignment="1">
      <alignment horizontal="left" vertical="top" indent="1"/>
    </xf>
    <xf numFmtId="49" fontId="17" fillId="5" borderId="10" xfId="0" applyNumberFormat="1" applyFont="1" applyFill="1" applyBorder="1" applyAlignment="1">
      <alignment horizontal="left" indent="1"/>
    </xf>
    <xf numFmtId="49" fontId="17" fillId="5" borderId="16" xfId="0" applyNumberFormat="1" applyFont="1" applyFill="1" applyBorder="1" applyAlignment="1">
      <alignment horizontal="left" indent="1"/>
    </xf>
    <xf numFmtId="0" fontId="15" fillId="5" borderId="27" xfId="0" applyFont="1" applyFill="1" applyBorder="1" applyAlignment="1">
      <alignment horizontal="left" vertical="top" indent="1"/>
    </xf>
    <xf numFmtId="49" fontId="14" fillId="5" borderId="10" xfId="0" applyNumberFormat="1" applyFont="1" applyFill="1" applyBorder="1" applyAlignment="1">
      <alignment horizontal="left" vertical="center" indent="1"/>
    </xf>
    <xf numFmtId="49" fontId="14" fillId="5" borderId="16" xfId="0" applyNumberFormat="1" applyFont="1" applyFill="1" applyBorder="1" applyAlignment="1">
      <alignment horizontal="left" vertical="center" indent="1"/>
    </xf>
    <xf numFmtId="164" fontId="15" fillId="5" borderId="12" xfId="0" applyNumberFormat="1" applyFont="1" applyFill="1" applyBorder="1" applyAlignment="1">
      <alignment horizontal="left" vertical="top" indent="1"/>
    </xf>
    <xf numFmtId="164" fontId="15" fillId="5" borderId="15" xfId="0" applyNumberFormat="1" applyFont="1" applyFill="1" applyBorder="1" applyAlignment="1">
      <alignment horizontal="left" vertical="top" indent="1"/>
    </xf>
    <xf numFmtId="164" fontId="15" fillId="5" borderId="22" xfId="0" applyNumberFormat="1" applyFont="1" applyFill="1" applyBorder="1" applyAlignment="1">
      <alignment horizontal="left" vertical="top" indent="1"/>
    </xf>
    <xf numFmtId="164" fontId="15" fillId="5" borderId="27" xfId="0" applyNumberFormat="1" applyFont="1" applyFill="1" applyBorder="1" applyAlignment="1">
      <alignment horizontal="left" vertical="top" indent="1"/>
    </xf>
    <xf numFmtId="49" fontId="14" fillId="5" borderId="16" xfId="0" applyNumberFormat="1" applyFont="1" applyFill="1" applyBorder="1" applyAlignment="1">
      <alignment horizontal="left" indent="1"/>
    </xf>
    <xf numFmtId="0" fontId="17" fillId="5" borderId="22" xfId="0" applyFont="1" applyFill="1" applyBorder="1" applyAlignment="1">
      <alignment horizontal="left" vertical="top" indent="1"/>
    </xf>
    <xf numFmtId="0" fontId="17" fillId="5" borderId="27" xfId="0" applyFont="1" applyFill="1" applyBorder="1" applyAlignment="1">
      <alignment horizontal="left" vertical="top" indent="1"/>
    </xf>
    <xf numFmtId="49" fontId="14" fillId="5" borderId="25" xfId="0" applyNumberFormat="1" applyFont="1" applyFill="1" applyBorder="1" applyAlignment="1">
      <alignment horizontal="left" indent="1"/>
    </xf>
    <xf numFmtId="49" fontId="14" fillId="5" borderId="26" xfId="0" applyNumberFormat="1" applyFont="1" applyFill="1" applyBorder="1" applyAlignment="1">
      <alignment horizontal="left" indent="1"/>
    </xf>
    <xf numFmtId="49" fontId="14" fillId="5" borderId="28" xfId="0" applyNumberFormat="1" applyFont="1" applyFill="1" applyBorder="1" applyAlignment="1">
      <alignment horizontal="left" indent="1"/>
    </xf>
    <xf numFmtId="0" fontId="9" fillId="0" borderId="36" xfId="0" applyFont="1" applyBorder="1" applyAlignment="1">
      <alignment horizontal="right" vertical="center" textRotation="90"/>
    </xf>
    <xf numFmtId="0" fontId="9" fillId="0" borderId="29" xfId="0" applyFont="1" applyBorder="1" applyAlignment="1">
      <alignment horizontal="right" vertical="center" textRotation="90"/>
    </xf>
    <xf numFmtId="0" fontId="12" fillId="4" borderId="10" xfId="0" applyFont="1" applyFill="1" applyBorder="1" applyAlignment="1">
      <alignment horizontal="left" indent="1"/>
    </xf>
    <xf numFmtId="0" fontId="12" fillId="4" borderId="16" xfId="0" applyFont="1" applyFill="1" applyBorder="1" applyAlignment="1">
      <alignment horizontal="left" indent="1"/>
    </xf>
    <xf numFmtId="0" fontId="12" fillId="4" borderId="6" xfId="0" applyFont="1" applyFill="1" applyBorder="1" applyAlignment="1">
      <alignment horizontal="left" indent="1"/>
    </xf>
    <xf numFmtId="0" fontId="16" fillId="0" borderId="33" xfId="0" applyFont="1" applyBorder="1" applyAlignment="1">
      <alignment horizontal="left" vertical="center" indent="2"/>
    </xf>
    <xf numFmtId="0" fontId="16" fillId="0" borderId="34" xfId="0" applyFont="1" applyBorder="1" applyAlignment="1">
      <alignment horizontal="left" vertical="center" indent="2"/>
    </xf>
    <xf numFmtId="0" fontId="16" fillId="0" borderId="30" xfId="0" applyFont="1" applyBorder="1" applyAlignment="1">
      <alignment horizontal="left" vertical="center" indent="2"/>
    </xf>
    <xf numFmtId="0" fontId="16" fillId="0" borderId="31" xfId="0" applyFont="1" applyBorder="1" applyAlignment="1">
      <alignment horizontal="left" vertical="center" indent="2"/>
    </xf>
    <xf numFmtId="0" fontId="9" fillId="0" borderId="33" xfId="0" applyFont="1" applyBorder="1" applyAlignment="1">
      <alignment horizontal="right" vertical="center" textRotation="90"/>
    </xf>
    <xf numFmtId="0" fontId="18" fillId="0" borderId="37" xfId="0" applyFont="1" applyBorder="1" applyAlignment="1">
      <alignment horizontal="left"/>
    </xf>
    <xf numFmtId="0" fontId="18" fillId="0" borderId="38" xfId="0" applyFont="1" applyBorder="1" applyAlignment="1">
      <alignment horizontal="left"/>
    </xf>
    <xf numFmtId="0" fontId="13" fillId="0" borderId="35" xfId="0" applyFont="1" applyFill="1" applyBorder="1" applyAlignment="1">
      <alignment vertical="center"/>
    </xf>
    <xf numFmtId="0" fontId="13" fillId="0" borderId="32" xfId="0" applyFont="1" applyFill="1" applyBorder="1" applyAlignment="1">
      <alignment vertical="center"/>
    </xf>
    <xf numFmtId="0" fontId="9" fillId="0" borderId="36" xfId="0" applyFont="1" applyBorder="1" applyAlignment="1">
      <alignment vertical="center" textRotation="90"/>
    </xf>
    <xf numFmtId="0" fontId="9" fillId="0" borderId="29" xfId="0" applyFont="1" applyBorder="1" applyAlignment="1">
      <alignment vertical="center" textRotation="90"/>
    </xf>
    <xf numFmtId="0" fontId="37" fillId="0" borderId="3" xfId="0" applyFont="1" applyBorder="1" applyAlignment="1">
      <alignment horizontal="left"/>
    </xf>
    <xf numFmtId="0" fontId="37" fillId="0" borderId="18" xfId="0" applyFont="1" applyBorder="1" applyAlignment="1">
      <alignment horizontal="left"/>
    </xf>
    <xf numFmtId="49" fontId="32" fillId="5" borderId="45" xfId="0" applyNumberFormat="1" applyFont="1" applyFill="1" applyBorder="1" applyAlignment="1">
      <alignment horizontal="center" vertical="top" wrapText="1"/>
    </xf>
    <xf numFmtId="49" fontId="32" fillId="5" borderId="46" xfId="0" applyNumberFormat="1" applyFont="1" applyFill="1" applyBorder="1" applyAlignment="1">
      <alignment horizontal="center" vertical="top" wrapText="1"/>
    </xf>
    <xf numFmtId="49" fontId="32" fillId="5" borderId="28" xfId="0" applyNumberFormat="1" applyFont="1" applyFill="1" applyBorder="1" applyAlignment="1">
      <alignment horizontal="center" vertical="top" wrapText="1"/>
    </xf>
    <xf numFmtId="49" fontId="32" fillId="5" borderId="7" xfId="0" applyNumberFormat="1" applyFont="1" applyFill="1" applyBorder="1" applyAlignment="1">
      <alignment horizontal="center" vertical="top" wrapText="1"/>
    </xf>
    <xf numFmtId="49" fontId="32" fillId="5" borderId="0" xfId="0" applyNumberFormat="1" applyFont="1" applyFill="1" applyBorder="1" applyAlignment="1">
      <alignment horizontal="center" vertical="top" wrapText="1"/>
    </xf>
    <xf numFmtId="49" fontId="32" fillId="5" borderId="16" xfId="0" applyNumberFormat="1" applyFont="1" applyFill="1" applyBorder="1" applyAlignment="1">
      <alignment horizontal="center" vertical="top" wrapText="1"/>
    </xf>
    <xf numFmtId="0" fontId="33" fillId="5" borderId="12" xfId="0" applyFont="1" applyFill="1" applyBorder="1" applyAlignment="1">
      <alignment horizontal="left" vertical="top" indent="1"/>
    </xf>
    <xf numFmtId="0" fontId="33" fillId="5" borderId="13" xfId="0" applyFont="1" applyFill="1" applyBorder="1" applyAlignment="1">
      <alignment horizontal="left" vertical="top" indent="1"/>
    </xf>
    <xf numFmtId="164" fontId="33" fillId="5" borderId="12" xfId="0" applyNumberFormat="1" applyFont="1" applyFill="1" applyBorder="1" applyAlignment="1">
      <alignment horizontal="left" vertical="top" indent="1"/>
    </xf>
    <xf numFmtId="164" fontId="33" fillId="5" borderId="15" xfId="0" applyNumberFormat="1" applyFont="1" applyFill="1" applyBorder="1" applyAlignment="1">
      <alignment horizontal="left" vertical="top" indent="1"/>
    </xf>
    <xf numFmtId="164" fontId="35" fillId="0" borderId="5" xfId="0" applyNumberFormat="1" applyFont="1" applyFill="1" applyBorder="1" applyAlignment="1">
      <alignment horizontal="left"/>
    </xf>
    <xf numFmtId="164" fontId="35" fillId="0" borderId="20" xfId="0" applyNumberFormat="1" applyFont="1" applyFill="1" applyBorder="1" applyAlignment="1">
      <alignment horizontal="left"/>
    </xf>
    <xf numFmtId="49" fontId="32" fillId="5" borderId="10" xfId="0" applyNumberFormat="1" applyFont="1" applyFill="1" applyBorder="1" applyAlignment="1">
      <alignment horizontal="left" indent="1"/>
    </xf>
    <xf numFmtId="49" fontId="32" fillId="5" borderId="6" xfId="0" applyNumberFormat="1" applyFont="1" applyFill="1" applyBorder="1" applyAlignment="1">
      <alignment horizontal="left" indent="1"/>
    </xf>
    <xf numFmtId="0" fontId="28" fillId="0" borderId="36" xfId="0" applyFont="1" applyBorder="1" applyAlignment="1">
      <alignment horizontal="right" vertical="center" textRotation="90"/>
    </xf>
    <xf numFmtId="0" fontId="28" fillId="0" borderId="29" xfId="0" applyFont="1" applyBorder="1" applyAlignment="1">
      <alignment horizontal="right" vertical="center" textRotation="90"/>
    </xf>
    <xf numFmtId="0" fontId="37" fillId="0" borderId="17" xfId="0" applyFont="1" applyBorder="1" applyAlignment="1">
      <alignment horizontal="left"/>
    </xf>
    <xf numFmtId="0" fontId="37" fillId="0" borderId="19" xfId="0" applyFont="1" applyBorder="1" applyAlignment="1">
      <alignment horizontal="left"/>
    </xf>
    <xf numFmtId="0" fontId="33" fillId="5" borderId="22" xfId="0" applyFont="1" applyFill="1" applyBorder="1" applyAlignment="1">
      <alignment horizontal="left" vertical="top" indent="1"/>
    </xf>
    <xf numFmtId="0" fontId="33" fillId="5" borderId="23" xfId="0" applyFont="1" applyFill="1" applyBorder="1" applyAlignment="1">
      <alignment horizontal="left" vertical="top" indent="1"/>
    </xf>
    <xf numFmtId="0" fontId="37" fillId="0" borderId="5" xfId="0" applyFont="1" applyBorder="1" applyAlignment="1">
      <alignment horizontal="left"/>
    </xf>
    <xf numFmtId="0" fontId="37" fillId="0" borderId="20" xfId="0" applyFont="1" applyBorder="1" applyAlignment="1">
      <alignment horizontal="left"/>
    </xf>
    <xf numFmtId="0" fontId="28" fillId="0" borderId="36" xfId="0" applyFont="1" applyBorder="1" applyAlignment="1">
      <alignment vertical="center" textRotation="90"/>
    </xf>
    <xf numFmtId="0" fontId="28" fillId="0" borderId="29" xfId="0" applyFont="1" applyBorder="1" applyAlignment="1">
      <alignment vertical="center" textRotation="90"/>
    </xf>
    <xf numFmtId="0" fontId="37" fillId="0" borderId="17" xfId="0" applyFont="1" applyBorder="1" applyAlignment="1">
      <alignment horizontal="left" wrapText="1"/>
    </xf>
    <xf numFmtId="0" fontId="37" fillId="0" borderId="19" xfId="0" applyFont="1" applyBorder="1" applyAlignment="1">
      <alignment horizontal="left" wrapText="1"/>
    </xf>
    <xf numFmtId="49" fontId="32" fillId="5" borderId="10" xfId="0" applyNumberFormat="1" applyFont="1" applyFill="1" applyBorder="1" applyAlignment="1">
      <alignment horizontal="center" vertical="center" wrapText="1"/>
    </xf>
    <xf numFmtId="49" fontId="32" fillId="5" borderId="16" xfId="0" applyNumberFormat="1" applyFont="1" applyFill="1" applyBorder="1" applyAlignment="1">
      <alignment horizontal="center" vertical="center" wrapText="1"/>
    </xf>
    <xf numFmtId="49" fontId="32" fillId="5" borderId="22" xfId="0" applyNumberFormat="1" applyFont="1" applyFill="1" applyBorder="1" applyAlignment="1">
      <alignment horizontal="center" vertical="center" wrapText="1"/>
    </xf>
    <xf numFmtId="49" fontId="32" fillId="5" borderId="27" xfId="0" applyNumberFormat="1" applyFont="1" applyFill="1" applyBorder="1" applyAlignment="1">
      <alignment horizontal="center" vertical="center" wrapText="1"/>
    </xf>
    <xf numFmtId="49" fontId="32" fillId="5" borderId="25" xfId="0" applyNumberFormat="1" applyFont="1" applyFill="1" applyBorder="1" applyAlignment="1">
      <alignment horizontal="left" indent="1"/>
    </xf>
    <xf numFmtId="49" fontId="32" fillId="5" borderId="26" xfId="0" applyNumberFormat="1" applyFont="1" applyFill="1" applyBorder="1" applyAlignment="1">
      <alignment horizontal="left" indent="1"/>
    </xf>
    <xf numFmtId="0" fontId="31" fillId="0" borderId="7" xfId="0" applyFont="1" applyBorder="1" applyAlignment="1">
      <alignment horizontal="left" vertical="center"/>
    </xf>
    <xf numFmtId="0" fontId="31" fillId="0" borderId="0" xfId="0" applyFont="1" applyAlignment="1">
      <alignment horizontal="left" vertical="center"/>
    </xf>
    <xf numFmtId="0" fontId="31" fillId="0" borderId="16" xfId="0" applyFont="1" applyBorder="1" applyAlignment="1">
      <alignment horizontal="left" vertical="center"/>
    </xf>
    <xf numFmtId="0" fontId="23" fillId="4" borderId="10" xfId="0" applyFont="1" applyFill="1" applyBorder="1" applyAlignment="1">
      <alignment horizontal="left" indent="1"/>
    </xf>
    <xf numFmtId="0" fontId="23" fillId="4" borderId="6" xfId="0" applyFont="1" applyFill="1" applyBorder="1" applyAlignment="1">
      <alignment horizontal="left" indent="1"/>
    </xf>
    <xf numFmtId="0" fontId="23" fillId="4" borderId="16" xfId="0" applyFont="1" applyFill="1" applyBorder="1" applyAlignment="1">
      <alignment horizontal="left" indent="1"/>
    </xf>
    <xf numFmtId="0" fontId="24" fillId="0" borderId="39" xfId="0" applyFont="1" applyFill="1" applyBorder="1" applyAlignment="1">
      <alignment horizontal="center" vertical="center" textRotation="90"/>
    </xf>
    <xf numFmtId="0" fontId="24" fillId="0" borderId="7" xfId="0" applyFont="1" applyFill="1" applyBorder="1" applyAlignment="1">
      <alignment horizontal="center" vertical="center" textRotation="90"/>
    </xf>
    <xf numFmtId="0" fontId="24" fillId="0" borderId="42" xfId="0" applyFont="1" applyFill="1" applyBorder="1" applyAlignment="1">
      <alignment horizontal="center" vertical="center" textRotation="90"/>
    </xf>
    <xf numFmtId="0" fontId="25" fillId="0" borderId="33" xfId="0" applyFont="1" applyBorder="1" applyAlignment="1">
      <alignment horizontal="left" vertical="center" indent="2"/>
    </xf>
    <xf numFmtId="0" fontId="25" fillId="0" borderId="34" xfId="0" applyFont="1" applyBorder="1" applyAlignment="1">
      <alignment horizontal="left" vertical="center" indent="2"/>
    </xf>
    <xf numFmtId="0" fontId="25" fillId="0" borderId="30" xfId="0" applyFont="1" applyBorder="1" applyAlignment="1">
      <alignment horizontal="left" vertical="center" indent="2"/>
    </xf>
    <xf numFmtId="0" fontId="25" fillId="0" borderId="31" xfId="0" applyFont="1" applyBorder="1" applyAlignment="1">
      <alignment horizontal="left" vertical="center" indent="2"/>
    </xf>
    <xf numFmtId="0" fontId="28" fillId="0" borderId="33" xfId="0" applyFont="1" applyBorder="1" applyAlignment="1">
      <alignment horizontal="right" vertical="center" textRotation="90"/>
    </xf>
    <xf numFmtId="0" fontId="37" fillId="0" borderId="37" xfId="0" applyFont="1" applyBorder="1" applyAlignment="1">
      <alignment horizontal="left"/>
    </xf>
    <xf numFmtId="0" fontId="37" fillId="0" borderId="38" xfId="0" applyFont="1" applyBorder="1" applyAlignment="1">
      <alignment horizontal="left"/>
    </xf>
    <xf numFmtId="0" fontId="37" fillId="0" borderId="3" xfId="0" applyFont="1" applyBorder="1" applyAlignment="1">
      <alignment horizontal="left" wrapText="1"/>
    </xf>
    <xf numFmtId="0" fontId="37" fillId="0" borderId="18" xfId="0" applyFont="1" applyBorder="1" applyAlignment="1">
      <alignment horizontal="left" wrapText="1"/>
    </xf>
    <xf numFmtId="49" fontId="32" fillId="5" borderId="10" xfId="0" applyNumberFormat="1" applyFont="1" applyFill="1" applyBorder="1" applyAlignment="1">
      <alignment horizontal="left" vertical="center" indent="1"/>
    </xf>
    <xf numFmtId="49" fontId="32" fillId="5" borderId="16" xfId="0" applyNumberFormat="1" applyFont="1" applyFill="1" applyBorder="1" applyAlignment="1">
      <alignment horizontal="left" vertical="center" indent="1"/>
    </xf>
    <xf numFmtId="0" fontId="23" fillId="0" borderId="3" xfId="0" applyFont="1" applyBorder="1" applyAlignment="1">
      <alignment horizontal="left"/>
    </xf>
    <xf numFmtId="0" fontId="23" fillId="0" borderId="18" xfId="0" applyFont="1" applyBorder="1" applyAlignment="1">
      <alignment horizontal="left"/>
    </xf>
    <xf numFmtId="0" fontId="33" fillId="5" borderId="27" xfId="0" applyFont="1" applyFill="1" applyBorder="1" applyAlignment="1">
      <alignment horizontal="left" vertical="top" indent="1"/>
    </xf>
    <xf numFmtId="164" fontId="38" fillId="0" borderId="5" xfId="0" applyNumberFormat="1" applyFont="1" applyFill="1" applyBorder="1" applyAlignment="1">
      <alignment horizontal="left"/>
    </xf>
    <xf numFmtId="164" fontId="38" fillId="0" borderId="20" xfId="0" applyNumberFormat="1" applyFont="1" applyFill="1" applyBorder="1" applyAlignment="1">
      <alignment horizontal="left"/>
    </xf>
  </cellXfs>
  <cellStyles count="5">
    <cellStyle name="40% - Accent1 2" xfId="3"/>
    <cellStyle name="Accent1 2" xfId="2"/>
    <cellStyle name="Heading 1 2" xfId="4"/>
    <cellStyle name="Normal" xfId="0" builtinId="0" customBuiltin="1"/>
    <cellStyle name="Normal 2" xfId="1"/>
  </cellStyles>
  <dxfs count="61"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ont>
        <color theme="0" tint="-0.24994659260841701"/>
      </font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ont>
        <color theme="0" tint="-0.24994659260841701"/>
      </font>
    </dxf>
    <dxf>
      <fill>
        <patternFill>
          <bgColor theme="4" tint="0.79998168889431442"/>
        </patternFill>
      </fill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ont>
        <color theme="0" tint="-0.24994659260841701"/>
      </font>
    </dxf>
    <dxf>
      <fill>
        <patternFill>
          <bgColor theme="4" tint="0.79998168889431442"/>
        </patternFill>
      </fill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ont>
        <color theme="0" tint="-0.24994659260841701"/>
      </font>
    </dxf>
    <dxf>
      <fill>
        <patternFill>
          <bgColor theme="4" tint="0.79998168889431442"/>
        </patternFill>
      </fill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ont>
        <color theme="0" tint="-0.24994659260841701"/>
      </font>
    </dxf>
    <dxf>
      <fill>
        <patternFill>
          <bgColor theme="4" tint="0.79998168889431442"/>
        </patternFill>
      </fill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ont>
        <color theme="0" tint="-0.24994659260841701"/>
      </font>
    </dxf>
    <dxf>
      <fill>
        <patternFill>
          <bgColor theme="4" tint="0.79998168889431442"/>
        </patternFill>
      </fill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ont>
        <color theme="0" tint="-0.24994659260841701"/>
      </font>
    </dxf>
    <dxf>
      <fill>
        <patternFill>
          <bgColor theme="4" tint="0.79998168889431442"/>
        </patternFill>
      </fill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ont>
        <color theme="0" tint="-0.24994659260841701"/>
      </font>
    </dxf>
    <dxf>
      <fill>
        <patternFill>
          <bgColor theme="4" tint="0.79998168889431442"/>
        </patternFill>
      </fill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ont>
        <color theme="0" tint="-0.24994659260841701"/>
      </font>
    </dxf>
    <dxf>
      <fill>
        <patternFill>
          <bgColor theme="4" tint="0.79998168889431442"/>
        </patternFill>
      </fill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ont>
        <color theme="0" tint="-0.24994659260841701"/>
      </font>
    </dxf>
    <dxf>
      <fill>
        <patternFill>
          <bgColor theme="4" tint="0.79998168889431442"/>
        </patternFill>
      </fill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ont>
        <color theme="0" tint="-0.24994659260841701"/>
      </font>
    </dxf>
    <dxf>
      <fill>
        <patternFill>
          <bgColor theme="4" tint="0.79998168889431442"/>
        </patternFill>
      </fill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ont>
        <color theme="0" tint="-0.24994659260841701"/>
      </font>
    </dxf>
    <dxf>
      <font>
        <b/>
        <color theme="1"/>
      </font>
      <border diagonalUp="0" diagonalDown="0">
        <left/>
        <right/>
        <top/>
        <bottom/>
        <vertical/>
        <horizontal/>
      </border>
    </dxf>
    <dxf>
      <font>
        <b/>
        <color theme="1"/>
      </font>
      <border>
        <top style="double">
          <color theme="6" tint="-0.24994659260841701"/>
        </top>
      </border>
    </dxf>
    <dxf>
      <font>
        <color theme="0"/>
      </font>
      <fill>
        <patternFill patternType="solid">
          <fgColor theme="4"/>
          <bgColor theme="7"/>
        </patternFill>
      </fill>
      <border diagonalUp="0" diagonalDown="0">
        <left/>
        <right/>
        <top/>
        <bottom/>
        <vertical/>
        <horizontal/>
      </border>
    </dxf>
    <dxf>
      <font>
        <color theme="1"/>
      </font>
      <fill>
        <patternFill>
          <bgColor theme="0"/>
        </patternFill>
      </fill>
      <border>
        <left style="thin">
          <color theme="9" tint="0.59996337778862885"/>
        </left>
        <right style="thin">
          <color theme="9" tint="0.59996337778862885"/>
        </right>
        <top style="thin">
          <color theme="9" tint="0.59996337778862885"/>
        </top>
        <bottom style="thin">
          <color theme="9" tint="0.59996337778862885"/>
        </bottom>
        <vertical/>
        <horizontal style="dashDotDot">
          <color theme="9" tint="0.59996337778862885"/>
        </horizontal>
      </border>
    </dxf>
    <dxf>
      <fill>
        <patternFill patternType="solid">
          <fgColor theme="9" tint="0.79998168889431442"/>
          <bgColor theme="9" tint="0.79998168889431442"/>
        </patternFill>
      </fill>
    </dxf>
    <dxf>
      <fill>
        <patternFill patternType="solid">
          <fgColor theme="9" tint="0.79998168889431442"/>
          <bgColor theme="9" tint="0.79998168889431442"/>
        </patternFill>
      </fill>
    </dxf>
    <dxf>
      <font>
        <b/>
        <color theme="9" tint="-0.249977111117893"/>
      </font>
    </dxf>
    <dxf>
      <font>
        <b/>
        <color theme="9" tint="-0.249977111117893"/>
      </font>
    </dxf>
    <dxf>
      <font>
        <b/>
        <color theme="9" tint="-0.249977111117893"/>
      </font>
      <border>
        <top style="thin">
          <color theme="9"/>
        </top>
      </border>
    </dxf>
    <dxf>
      <font>
        <b/>
        <color theme="9" tint="-0.249977111117893"/>
      </font>
      <border>
        <bottom style="thin">
          <color theme="9"/>
        </bottom>
      </border>
    </dxf>
    <dxf>
      <font>
        <color theme="9" tint="-0.249977111117893"/>
      </font>
      <fill>
        <patternFill>
          <bgColor theme="0"/>
        </patternFill>
      </fill>
      <border>
        <top style="thin">
          <color theme="9"/>
        </top>
        <bottom style="thin">
          <color theme="9"/>
        </bottom>
      </border>
    </dxf>
  </dxfs>
  <tableStyles count="2" defaultTableStyle="TableStyleMedium2" defaultPivotStyle="PivotStyleLight16">
    <tableStyle name="TableStyleLight7 2" pivot="0" count="7">
      <tableStyleElement type="wholeTable" dxfId="60"/>
      <tableStyleElement type="headerRow" dxfId="59"/>
      <tableStyleElement type="totalRow" dxfId="58"/>
      <tableStyleElement type="firstColumn" dxfId="57"/>
      <tableStyleElement type="lastColumn" dxfId="56"/>
      <tableStyleElement type="firstRowStripe" dxfId="55"/>
      <tableStyleElement type="firstColumnStripe" dxfId="54"/>
    </tableStyle>
    <tableStyle name="TableStyleLight9 2" pivot="0" count="4">
      <tableStyleElement type="wholeTable" dxfId="53"/>
      <tableStyleElement type="headerRow" dxfId="52"/>
      <tableStyleElement type="totalRow" dxfId="51"/>
      <tableStyleElement type="firstColumn" dxfId="5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Spin" dx="16" fmlaLink="$N$2" max="2999" min="1900" page="10" val="2018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38100</xdr:colOff>
      <xdr:row>1</xdr:row>
      <xdr:rowOff>28575</xdr:rowOff>
    </xdr:from>
    <xdr:to>
      <xdr:col>18</xdr:col>
      <xdr:colOff>552450</xdr:colOff>
      <xdr:row>2</xdr:row>
      <xdr:rowOff>238124</xdr:rowOff>
    </xdr:to>
    <xdr:sp macro="" textlink="">
      <xdr:nvSpPr>
        <xdr:cNvPr id="3" name="TextBox 2"/>
        <xdr:cNvSpPr txBox="1"/>
      </xdr:nvSpPr>
      <xdr:spPr>
        <a:xfrm>
          <a:off x="9639300" y="171450"/>
          <a:ext cx="2286000" cy="4190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n-US" sz="1000" b="1">
              <a:solidFill>
                <a:schemeClr val="accent1"/>
              </a:solidFill>
            </a:rPr>
            <a:t>Haga clic en el control de número para cambiar</a:t>
          </a:r>
          <a:r>
            <a:rPr lang="en-US" sz="1000" b="1" baseline="0">
              <a:solidFill>
                <a:schemeClr val="accent1"/>
              </a:solidFill>
            </a:rPr>
            <a:t> el año</a:t>
          </a:r>
        </a:p>
      </xdr:txBody>
    </xdr:sp>
    <xdr:clientData fPrint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</xdr:colOff>
          <xdr:row>1</xdr:row>
          <xdr:rowOff>85725</xdr:rowOff>
        </xdr:from>
        <xdr:to>
          <xdr:col>15</xdr:col>
          <xdr:colOff>0</xdr:colOff>
          <xdr:row>2</xdr:row>
          <xdr:rowOff>161925</xdr:rowOff>
        </xdr:to>
        <xdr:sp macro="" textlink="">
          <xdr:nvSpPr>
            <xdr:cNvPr id="1025" name="Spinner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10_college_cal">
  <a:themeElements>
    <a:clrScheme name="Assignment Calenda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39B5D4"/>
      </a:accent1>
      <a:accent2>
        <a:srgbClr val="FFCCCC"/>
      </a:accent2>
      <a:accent3>
        <a:srgbClr val="4DBB68"/>
      </a:accent3>
      <a:accent4>
        <a:srgbClr val="FFFB59"/>
      </a:accent4>
      <a:accent5>
        <a:srgbClr val="FF9900"/>
      </a:accent5>
      <a:accent6>
        <a:srgbClr val="AC75D5"/>
      </a:accent6>
      <a:hlink>
        <a:srgbClr val="57B5D4"/>
      </a:hlink>
      <a:folHlink>
        <a:srgbClr val="BA4F8B"/>
      </a:folHlink>
    </a:clrScheme>
    <a:fontScheme name="Office Classic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/>
    <pageSetUpPr fitToPage="1"/>
  </sheetPr>
  <dimension ref="A1:AO33"/>
  <sheetViews>
    <sheetView showGridLines="0" topLeftCell="A16" zoomScaleNormal="100" zoomScalePageLayoutView="84" workbookViewId="0">
      <selection activeCell="K34" sqref="K34:K35"/>
    </sheetView>
  </sheetViews>
  <sheetFormatPr baseColWidth="10" defaultColWidth="8.7109375" defaultRowHeight="16.5" customHeight="1" x14ac:dyDescent="0.2"/>
  <cols>
    <col min="1" max="1" width="2.28515625" style="1" customWidth="1"/>
    <col min="2" max="2" width="12.7109375" style="1" customWidth="1"/>
    <col min="3" max="10" width="6.7109375" style="1" customWidth="1"/>
    <col min="11" max="11" width="7.28515625" style="1" customWidth="1"/>
    <col min="12" max="12" width="3.85546875" customWidth="1"/>
    <col min="13" max="13" width="51.42578125" style="1" customWidth="1"/>
    <col min="14" max="14" width="10.7109375" style="1" customWidth="1"/>
    <col min="15" max="15" width="2.28515625" customWidth="1"/>
    <col min="16" max="22" width="8.85546875" customWidth="1"/>
    <col min="42" max="16384" width="8.7109375" style="1"/>
  </cols>
  <sheetData>
    <row r="1" spans="1:14" ht="11.25" customHeight="1" x14ac:dyDescent="0.2"/>
    <row r="2" spans="1:14" ht="18" customHeight="1" x14ac:dyDescent="0.2">
      <c r="A2" s="4"/>
      <c r="B2" s="58" t="s">
        <v>4</v>
      </c>
      <c r="C2" s="21"/>
      <c r="D2" s="21"/>
      <c r="E2" s="21"/>
      <c r="F2" s="21"/>
      <c r="G2" s="21"/>
      <c r="H2" s="21"/>
      <c r="I2" s="21"/>
      <c r="J2" s="22"/>
      <c r="K2" s="98" t="s">
        <v>3</v>
      </c>
      <c r="L2" s="99">
        <v>2013</v>
      </c>
      <c r="M2" s="99"/>
      <c r="N2" s="105">
        <v>2018</v>
      </c>
    </row>
    <row r="3" spans="1:14" ht="21" customHeight="1" x14ac:dyDescent="0.2">
      <c r="A3" s="4"/>
      <c r="B3" s="59"/>
      <c r="C3" s="2" t="s">
        <v>5</v>
      </c>
      <c r="D3" s="2" t="s">
        <v>1</v>
      </c>
      <c r="E3" s="2" t="s">
        <v>6</v>
      </c>
      <c r="F3" s="2" t="s">
        <v>7</v>
      </c>
      <c r="G3" s="2" t="s">
        <v>8</v>
      </c>
      <c r="H3" s="2" t="s">
        <v>0</v>
      </c>
      <c r="I3" s="2" t="s">
        <v>9</v>
      </c>
      <c r="J3" s="5"/>
      <c r="K3" s="100"/>
      <c r="L3" s="101"/>
      <c r="M3" s="101"/>
      <c r="N3" s="106"/>
    </row>
    <row r="4" spans="1:14" ht="18" customHeight="1" x14ac:dyDescent="0.2">
      <c r="A4" s="4"/>
      <c r="B4" s="59"/>
      <c r="C4" s="10">
        <f>IF(DAY(JanSun1)=1,JanSun1-6,JanSun1+1)</f>
        <v>43101</v>
      </c>
      <c r="D4" s="10">
        <f>IF(DAY(JanSun1)=1,JanSun1-5,JanSun1+2)</f>
        <v>43102</v>
      </c>
      <c r="E4" s="10">
        <f>IF(DAY(JanSun1)=1,JanSun1-4,JanSun1+3)</f>
        <v>43103</v>
      </c>
      <c r="F4" s="10">
        <f>IF(DAY(JanSun1)=1,JanSun1-3,JanSun1+4)</f>
        <v>43104</v>
      </c>
      <c r="G4" s="10">
        <f>IF(DAY(JanSun1)=1,JanSun1-2,JanSun1+5)</f>
        <v>43105</v>
      </c>
      <c r="H4" s="10">
        <f>IF(DAY(JanSun1)=1,JanSun1-1,JanSun1+6)</f>
        <v>43106</v>
      </c>
      <c r="I4" s="10">
        <f>IF(DAY(JanSun1)=1,JanSun1,JanSun1+7)</f>
        <v>43107</v>
      </c>
      <c r="J4" s="5"/>
      <c r="K4" s="102" t="s">
        <v>12</v>
      </c>
      <c r="L4" s="16">
        <v>3</v>
      </c>
      <c r="M4" s="103"/>
      <c r="N4" s="104"/>
    </row>
    <row r="5" spans="1:14" ht="18" customHeight="1" x14ac:dyDescent="0.2">
      <c r="A5" s="4"/>
      <c r="B5" s="59"/>
      <c r="C5" s="10">
        <f>IF(DAY(JanSun1)=1,JanSun1+1,JanSun1+8)</f>
        <v>43108</v>
      </c>
      <c r="D5" s="10">
        <f>IF(DAY(JanSun1)=1,JanSun1+2,JanSun1+9)</f>
        <v>43109</v>
      </c>
      <c r="E5" s="10">
        <f>IF(DAY(JanSun1)=1,JanSun1+3,JanSun1+10)</f>
        <v>43110</v>
      </c>
      <c r="F5" s="10">
        <f>IF(DAY(JanSun1)=1,JanSun1+4,JanSun1+11)</f>
        <v>43111</v>
      </c>
      <c r="G5" s="10">
        <f>IF(DAY(JanSun1)=1,JanSun1+5,JanSun1+12)</f>
        <v>43112</v>
      </c>
      <c r="H5" s="10">
        <f>IF(DAY(JanSun1)=1,JanSun1+6,JanSun1+13)</f>
        <v>43113</v>
      </c>
      <c r="I5" s="10">
        <f>IF(DAY(JanSun1)=1,JanSun1+7,JanSun1+14)</f>
        <v>43114</v>
      </c>
      <c r="J5" s="5"/>
      <c r="K5" s="94"/>
      <c r="L5" s="17"/>
      <c r="M5" s="64"/>
      <c r="N5" s="65"/>
    </row>
    <row r="6" spans="1:14" ht="18" customHeight="1" x14ac:dyDescent="0.2">
      <c r="A6" s="4"/>
      <c r="B6" s="59"/>
      <c r="C6" s="10">
        <f>IF(DAY(JanSun1)=1,JanSun1+8,JanSun1+15)</f>
        <v>43115</v>
      </c>
      <c r="D6" s="10">
        <f>IF(DAY(JanSun1)=1,JanSun1+9,JanSun1+16)</f>
        <v>43116</v>
      </c>
      <c r="E6" s="10">
        <f>IF(DAY(JanSun1)=1,JanSun1+10,JanSun1+17)</f>
        <v>43117</v>
      </c>
      <c r="F6" s="10">
        <f>IF(DAY(JanSun1)=1,JanSun1+11,JanSun1+18)</f>
        <v>43118</v>
      </c>
      <c r="G6" s="10">
        <f>IF(DAY(JanSun1)=1,JanSun1+12,JanSun1+19)</f>
        <v>43119</v>
      </c>
      <c r="H6" s="10">
        <f>IF(DAY(JanSun1)=1,JanSun1+13,JanSun1+20)</f>
        <v>43120</v>
      </c>
      <c r="I6" s="10">
        <f>IF(DAY(JanSun1)=1,JanSun1+14,JanSun1+21)</f>
        <v>43121</v>
      </c>
      <c r="J6" s="5"/>
      <c r="K6" s="94"/>
      <c r="L6" s="17"/>
      <c r="M6" s="64"/>
      <c r="N6" s="65"/>
    </row>
    <row r="7" spans="1:14" ht="18" customHeight="1" x14ac:dyDescent="0.2">
      <c r="A7" s="4"/>
      <c r="B7" s="59"/>
      <c r="C7" s="10">
        <f>IF(DAY(JanSun1)=1,JanSun1+15,JanSun1+22)</f>
        <v>43122</v>
      </c>
      <c r="D7" s="10">
        <f>IF(DAY(JanSun1)=1,JanSun1+16,JanSun1+23)</f>
        <v>43123</v>
      </c>
      <c r="E7" s="10">
        <f>IF(DAY(JanSun1)=1,JanSun1+17,JanSun1+24)</f>
        <v>43124</v>
      </c>
      <c r="F7" s="10">
        <f>IF(DAY(JanSun1)=1,JanSun1+18,JanSun1+25)</f>
        <v>43125</v>
      </c>
      <c r="G7" s="10">
        <f>IF(DAY(JanSun1)=1,JanSun1+19,JanSun1+26)</f>
        <v>43126</v>
      </c>
      <c r="H7" s="10">
        <f>IF(DAY(JanSun1)=1,JanSun1+20,JanSun1+27)</f>
        <v>43127</v>
      </c>
      <c r="I7" s="10">
        <f>IF(DAY(JanSun1)=1,JanSun1+21,JanSun1+28)</f>
        <v>43128</v>
      </c>
      <c r="J7" s="5"/>
      <c r="K7" s="11"/>
      <c r="L7" s="17"/>
      <c r="M7" s="64"/>
      <c r="N7" s="65"/>
    </row>
    <row r="8" spans="1:14" ht="18.75" customHeight="1" x14ac:dyDescent="0.2">
      <c r="A8" s="4"/>
      <c r="B8" s="59"/>
      <c r="C8" s="10">
        <f>IF(DAY(JanSun1)=1,JanSun1+22,JanSun1+29)</f>
        <v>43129</v>
      </c>
      <c r="D8" s="10">
        <f>IF(DAY(JanSun1)=1,JanSun1+23,JanSun1+30)</f>
        <v>43130</v>
      </c>
      <c r="E8" s="10">
        <f>IF(DAY(JanSun1)=1,JanSun1+24,JanSun1+31)</f>
        <v>43131</v>
      </c>
      <c r="F8" s="10">
        <f>IF(DAY(JanSun1)=1,JanSun1+25,JanSun1+32)</f>
        <v>43132</v>
      </c>
      <c r="G8" s="10">
        <f>IF(DAY(JanSun1)=1,JanSun1+26,JanSun1+33)</f>
        <v>43133</v>
      </c>
      <c r="H8" s="10">
        <f>IF(DAY(JanSun1)=1,JanSun1+27,JanSun1+34)</f>
        <v>43134</v>
      </c>
      <c r="I8" s="10">
        <f>IF(DAY(JanSun1)=1,JanSun1+28,JanSun1+35)</f>
        <v>43135</v>
      </c>
      <c r="J8" s="5"/>
      <c r="K8" s="11"/>
      <c r="L8" s="17"/>
      <c r="M8" s="64"/>
      <c r="N8" s="65"/>
    </row>
    <row r="9" spans="1:14" ht="18" customHeight="1" x14ac:dyDescent="0.2">
      <c r="A9" s="4"/>
      <c r="B9" s="59"/>
      <c r="C9" s="10">
        <f>IF(DAY(JanSun1)=1,JanSun1+29,JanSun1+36)</f>
        <v>43136</v>
      </c>
      <c r="D9" s="10">
        <f>IF(DAY(JanSun1)=1,JanSun1+30,JanSun1+37)</f>
        <v>43137</v>
      </c>
      <c r="E9" s="10">
        <f>IF(DAY(JanSun1)=1,JanSun1+31,JanSun1+38)</f>
        <v>43138</v>
      </c>
      <c r="F9" s="10">
        <f>IF(DAY(JanSun1)=1,JanSun1+32,JanSun1+39)</f>
        <v>43139</v>
      </c>
      <c r="G9" s="10">
        <f>IF(DAY(JanSun1)=1,JanSun1+33,JanSun1+40)</f>
        <v>43140</v>
      </c>
      <c r="H9" s="10">
        <f>IF(DAY(JanSun1)=1,JanSun1+34,JanSun1+41)</f>
        <v>43141</v>
      </c>
      <c r="I9" s="10">
        <f>IF(DAY(JanSun1)=1,JanSun1+35,JanSun1+42)</f>
        <v>43142</v>
      </c>
      <c r="J9" s="5"/>
      <c r="K9" s="12"/>
      <c r="L9" s="18"/>
      <c r="M9" s="68"/>
      <c r="N9" s="69"/>
    </row>
    <row r="10" spans="1:14" ht="18" customHeight="1" x14ac:dyDescent="0.2">
      <c r="A10" s="4"/>
      <c r="B10" s="60"/>
      <c r="C10" s="23"/>
      <c r="D10" s="23"/>
      <c r="E10" s="23"/>
      <c r="F10" s="23"/>
      <c r="G10" s="23"/>
      <c r="H10" s="23"/>
      <c r="I10" s="23"/>
      <c r="J10" s="24"/>
      <c r="K10" s="93" t="s">
        <v>13</v>
      </c>
      <c r="L10" s="16">
        <v>18</v>
      </c>
      <c r="M10" s="70"/>
      <c r="N10" s="71"/>
    </row>
    <row r="11" spans="1:14" ht="18" customHeight="1" x14ac:dyDescent="0.2">
      <c r="A11" s="4"/>
      <c r="B11" s="61" t="s">
        <v>11</v>
      </c>
      <c r="C11" s="62"/>
      <c r="D11" s="62"/>
      <c r="E11" s="62"/>
      <c r="F11" s="62"/>
      <c r="G11" s="62"/>
      <c r="H11" s="62"/>
      <c r="I11" s="62"/>
      <c r="J11" s="63"/>
      <c r="K11" s="94"/>
      <c r="L11" s="17"/>
      <c r="M11" s="64"/>
      <c r="N11" s="65"/>
    </row>
    <row r="12" spans="1:14" ht="18" customHeight="1" x14ac:dyDescent="0.2">
      <c r="A12" s="4"/>
      <c r="B12" s="61"/>
      <c r="C12" s="62"/>
      <c r="D12" s="62"/>
      <c r="E12" s="62"/>
      <c r="F12" s="62"/>
      <c r="G12" s="62"/>
      <c r="H12" s="62"/>
      <c r="I12" s="62"/>
      <c r="J12" s="63"/>
      <c r="K12" s="94"/>
      <c r="L12" s="17"/>
      <c r="M12" s="64"/>
      <c r="N12" s="65"/>
    </row>
    <row r="13" spans="1:14" ht="18" customHeight="1" x14ac:dyDescent="0.2">
      <c r="B13" s="3" t="s">
        <v>12</v>
      </c>
      <c r="C13" s="95" t="s">
        <v>13</v>
      </c>
      <c r="D13" s="97"/>
      <c r="E13" s="95" t="s">
        <v>14</v>
      </c>
      <c r="F13" s="97"/>
      <c r="G13" s="95" t="s">
        <v>15</v>
      </c>
      <c r="H13" s="97"/>
      <c r="I13" s="95" t="s">
        <v>16</v>
      </c>
      <c r="J13" s="96"/>
      <c r="K13" s="11"/>
      <c r="L13" s="17"/>
      <c r="M13" s="64"/>
      <c r="N13" s="65"/>
    </row>
    <row r="14" spans="1:14" ht="18" customHeight="1" x14ac:dyDescent="0.2">
      <c r="B14" s="8"/>
      <c r="C14" s="72"/>
      <c r="D14" s="73"/>
      <c r="E14" s="72"/>
      <c r="F14" s="73"/>
      <c r="G14" s="72"/>
      <c r="H14" s="73"/>
      <c r="I14" s="72"/>
      <c r="J14" s="87"/>
      <c r="K14" s="11"/>
      <c r="L14" s="17"/>
      <c r="M14" s="64"/>
      <c r="N14" s="65"/>
    </row>
    <row r="15" spans="1:14" ht="18" customHeight="1" x14ac:dyDescent="0.2">
      <c r="B15" s="6"/>
      <c r="C15" s="74"/>
      <c r="D15" s="75"/>
      <c r="E15" s="74"/>
      <c r="F15" s="75"/>
      <c r="G15" s="74"/>
      <c r="H15" s="75"/>
      <c r="I15" s="85"/>
      <c r="J15" s="86"/>
      <c r="K15" s="13"/>
      <c r="L15" s="19"/>
      <c r="M15" s="68"/>
      <c r="N15" s="69"/>
    </row>
    <row r="16" spans="1:14" ht="18" customHeight="1" x14ac:dyDescent="0.2">
      <c r="B16" s="8"/>
      <c r="C16" s="72"/>
      <c r="D16" s="73"/>
      <c r="E16" s="72"/>
      <c r="F16" s="73"/>
      <c r="G16" s="72"/>
      <c r="H16" s="73"/>
      <c r="I16" s="81"/>
      <c r="J16" s="82"/>
      <c r="K16" s="107" t="s">
        <v>14</v>
      </c>
      <c r="L16" s="16"/>
      <c r="M16" s="70"/>
      <c r="N16" s="71"/>
    </row>
    <row r="17" spans="2:14" ht="18" customHeight="1" x14ac:dyDescent="0.2">
      <c r="B17" s="6"/>
      <c r="C17" s="74"/>
      <c r="D17" s="75"/>
      <c r="E17" s="74"/>
      <c r="F17" s="75"/>
      <c r="G17" s="74"/>
      <c r="H17" s="75"/>
      <c r="I17" s="85"/>
      <c r="J17" s="86"/>
      <c r="K17" s="108"/>
      <c r="L17" s="17"/>
      <c r="M17" s="64"/>
      <c r="N17" s="65"/>
    </row>
    <row r="18" spans="2:14" ht="18" customHeight="1" x14ac:dyDescent="0.2">
      <c r="B18" s="9"/>
      <c r="C18" s="90"/>
      <c r="D18" s="91"/>
      <c r="E18" s="90"/>
      <c r="F18" s="91"/>
      <c r="G18" s="90"/>
      <c r="H18" s="91"/>
      <c r="I18" s="90"/>
      <c r="J18" s="92"/>
      <c r="K18" s="108"/>
      <c r="L18" s="17"/>
      <c r="M18" s="64"/>
      <c r="N18" s="65"/>
    </row>
    <row r="19" spans="2:14" ht="18" customHeight="1" x14ac:dyDescent="0.2">
      <c r="B19" s="6"/>
      <c r="C19" s="74"/>
      <c r="D19" s="75"/>
      <c r="E19" s="74"/>
      <c r="F19" s="75"/>
      <c r="G19" s="74"/>
      <c r="H19" s="75"/>
      <c r="I19" s="85"/>
      <c r="J19" s="86"/>
      <c r="K19" s="11"/>
      <c r="L19" s="17"/>
      <c r="M19" s="64"/>
      <c r="N19" s="65"/>
    </row>
    <row r="20" spans="2:14" ht="18" customHeight="1" x14ac:dyDescent="0.2">
      <c r="B20" s="8"/>
      <c r="C20" s="72"/>
      <c r="D20" s="73"/>
      <c r="E20" s="72"/>
      <c r="F20" s="73"/>
      <c r="G20" s="72"/>
      <c r="H20" s="73"/>
      <c r="I20" s="72"/>
      <c r="J20" s="87"/>
      <c r="K20" s="11"/>
      <c r="L20" s="17"/>
      <c r="M20" s="64"/>
      <c r="N20" s="65"/>
    </row>
    <row r="21" spans="2:14" ht="18" customHeight="1" x14ac:dyDescent="0.2">
      <c r="B21" s="6"/>
      <c r="C21" s="74"/>
      <c r="D21" s="75"/>
      <c r="E21" s="74"/>
      <c r="F21" s="75"/>
      <c r="G21" s="74"/>
      <c r="H21" s="75"/>
      <c r="I21" s="88"/>
      <c r="J21" s="89"/>
      <c r="K21" s="13"/>
      <c r="L21" s="19"/>
      <c r="M21" s="68"/>
      <c r="N21" s="69"/>
    </row>
    <row r="22" spans="2:14" ht="18" customHeight="1" x14ac:dyDescent="0.2">
      <c r="B22" s="8"/>
      <c r="C22" s="72"/>
      <c r="D22" s="73"/>
      <c r="E22" s="72"/>
      <c r="F22" s="73"/>
      <c r="G22" s="72"/>
      <c r="H22" s="73"/>
      <c r="I22" s="72"/>
      <c r="J22" s="87"/>
      <c r="K22" s="107" t="s">
        <v>15</v>
      </c>
      <c r="L22" s="16"/>
      <c r="M22" s="70"/>
      <c r="N22" s="71"/>
    </row>
    <row r="23" spans="2:14" ht="18" customHeight="1" x14ac:dyDescent="0.2">
      <c r="B23" s="6"/>
      <c r="C23" s="74"/>
      <c r="D23" s="75"/>
      <c r="E23" s="74"/>
      <c r="F23" s="75"/>
      <c r="G23" s="74"/>
      <c r="H23" s="75"/>
      <c r="I23" s="85"/>
      <c r="J23" s="86"/>
      <c r="K23" s="108"/>
      <c r="L23" s="17"/>
      <c r="M23" s="64"/>
      <c r="N23" s="65"/>
    </row>
    <row r="24" spans="2:14" ht="18" customHeight="1" x14ac:dyDescent="0.2">
      <c r="B24" s="8"/>
      <c r="C24" s="72"/>
      <c r="D24" s="73"/>
      <c r="E24" s="72"/>
      <c r="F24" s="73"/>
      <c r="G24" s="72"/>
      <c r="H24" s="73"/>
      <c r="I24" s="72"/>
      <c r="J24" s="87"/>
      <c r="K24" s="108"/>
      <c r="L24" s="17"/>
      <c r="M24" s="64"/>
      <c r="N24" s="65"/>
    </row>
    <row r="25" spans="2:14" ht="18" customHeight="1" x14ac:dyDescent="0.2">
      <c r="B25" s="6"/>
      <c r="C25" s="74"/>
      <c r="D25" s="75"/>
      <c r="E25" s="74"/>
      <c r="F25" s="75"/>
      <c r="G25" s="74"/>
      <c r="H25" s="75"/>
      <c r="I25" s="85"/>
      <c r="J25" s="86"/>
      <c r="K25" s="108"/>
      <c r="L25" s="17"/>
      <c r="M25" s="64"/>
      <c r="N25" s="65"/>
    </row>
    <row r="26" spans="2:14" ht="18" customHeight="1" x14ac:dyDescent="0.2">
      <c r="B26" s="8"/>
      <c r="C26" s="72"/>
      <c r="D26" s="73"/>
      <c r="E26" s="72"/>
      <c r="F26" s="73"/>
      <c r="G26" s="72"/>
      <c r="H26" s="73"/>
      <c r="I26" s="72"/>
      <c r="J26" s="87"/>
      <c r="K26" s="11"/>
      <c r="L26" s="17"/>
      <c r="M26" s="64"/>
      <c r="N26" s="65"/>
    </row>
    <row r="27" spans="2:14" ht="18" customHeight="1" x14ac:dyDescent="0.2">
      <c r="B27" s="6"/>
      <c r="C27" s="74"/>
      <c r="D27" s="75"/>
      <c r="E27" s="74"/>
      <c r="F27" s="75"/>
      <c r="G27" s="74"/>
      <c r="H27" s="75"/>
      <c r="I27" s="85"/>
      <c r="J27" s="86"/>
      <c r="K27" s="13"/>
      <c r="L27" s="19"/>
      <c r="M27" s="68"/>
      <c r="N27" s="69"/>
    </row>
    <row r="28" spans="2:14" ht="18" customHeight="1" x14ac:dyDescent="0.2">
      <c r="B28" s="8"/>
      <c r="C28" s="72"/>
      <c r="D28" s="73"/>
      <c r="E28" s="72"/>
      <c r="F28" s="73"/>
      <c r="G28" s="72"/>
      <c r="H28" s="73"/>
      <c r="I28" s="72"/>
      <c r="J28" s="87"/>
      <c r="K28" s="93" t="s">
        <v>16</v>
      </c>
      <c r="L28" s="16"/>
      <c r="M28" s="70"/>
      <c r="N28" s="71"/>
    </row>
    <row r="29" spans="2:14" ht="18" customHeight="1" x14ac:dyDescent="0.2">
      <c r="B29" s="6"/>
      <c r="C29" s="74"/>
      <c r="D29" s="75"/>
      <c r="E29" s="74"/>
      <c r="F29" s="75"/>
      <c r="G29" s="74"/>
      <c r="H29" s="75"/>
      <c r="I29" s="74"/>
      <c r="J29" s="80"/>
      <c r="K29" s="94"/>
      <c r="L29" s="17"/>
      <c r="M29" s="64"/>
      <c r="N29" s="65"/>
    </row>
    <row r="30" spans="2:14" ht="18" customHeight="1" x14ac:dyDescent="0.2">
      <c r="B30" s="8"/>
      <c r="C30" s="72"/>
      <c r="D30" s="73"/>
      <c r="E30" s="72"/>
      <c r="F30" s="73"/>
      <c r="G30" s="72"/>
      <c r="H30" s="73"/>
      <c r="I30" s="78"/>
      <c r="J30" s="79"/>
      <c r="K30" s="94"/>
      <c r="L30" s="17"/>
      <c r="M30" s="64"/>
      <c r="N30" s="65"/>
    </row>
    <row r="31" spans="2:14" ht="18" customHeight="1" x14ac:dyDescent="0.2">
      <c r="B31" s="6"/>
      <c r="C31" s="74"/>
      <c r="D31" s="75"/>
      <c r="E31" s="74"/>
      <c r="F31" s="75"/>
      <c r="G31" s="74"/>
      <c r="H31" s="75"/>
      <c r="I31" s="74"/>
      <c r="J31" s="80"/>
      <c r="K31" s="14"/>
      <c r="L31" s="17"/>
      <c r="M31" s="64"/>
      <c r="N31" s="65"/>
    </row>
    <row r="32" spans="2:14" ht="18" customHeight="1" x14ac:dyDescent="0.2">
      <c r="B32" s="8"/>
      <c r="C32" s="72"/>
      <c r="D32" s="73"/>
      <c r="E32" s="72"/>
      <c r="F32" s="73"/>
      <c r="G32" s="72"/>
      <c r="H32" s="73"/>
      <c r="I32" s="81"/>
      <c r="J32" s="82"/>
      <c r="K32" s="14"/>
      <c r="L32" s="17"/>
      <c r="M32" s="64"/>
      <c r="N32" s="65"/>
    </row>
    <row r="33" spans="2:14" ht="18" customHeight="1" x14ac:dyDescent="0.2">
      <c r="B33" s="7"/>
      <c r="C33" s="76"/>
      <c r="D33" s="77"/>
      <c r="E33" s="76"/>
      <c r="F33" s="77"/>
      <c r="G33" s="76"/>
      <c r="H33" s="77"/>
      <c r="I33" s="83"/>
      <c r="J33" s="84"/>
      <c r="K33" s="15"/>
      <c r="L33" s="20"/>
      <c r="M33" s="66"/>
      <c r="N33" s="67"/>
    </row>
  </sheetData>
  <mergeCells count="123">
    <mergeCell ref="K16:K18"/>
    <mergeCell ref="K22:K25"/>
    <mergeCell ref="M12:N12"/>
    <mergeCell ref="M13:N13"/>
    <mergeCell ref="M14:N14"/>
    <mergeCell ref="M15:N15"/>
    <mergeCell ref="M16:N16"/>
    <mergeCell ref="M17:N17"/>
    <mergeCell ref="M18:N18"/>
    <mergeCell ref="M19:N19"/>
    <mergeCell ref="M20:N20"/>
    <mergeCell ref="K28:K30"/>
    <mergeCell ref="I13:J13"/>
    <mergeCell ref="G13:H13"/>
    <mergeCell ref="E13:F13"/>
    <mergeCell ref="C13:D13"/>
    <mergeCell ref="K2:M3"/>
    <mergeCell ref="K10:K12"/>
    <mergeCell ref="K4:K6"/>
    <mergeCell ref="M4:N4"/>
    <mergeCell ref="M5:N5"/>
    <mergeCell ref="M6:N6"/>
    <mergeCell ref="M7:N7"/>
    <mergeCell ref="M8:N8"/>
    <mergeCell ref="M9:N9"/>
    <mergeCell ref="M10:N10"/>
    <mergeCell ref="M11:N11"/>
    <mergeCell ref="N2:N3"/>
    <mergeCell ref="C19:D19"/>
    <mergeCell ref="C20:D20"/>
    <mergeCell ref="C21:D21"/>
    <mergeCell ref="C22:D22"/>
    <mergeCell ref="C23:D23"/>
    <mergeCell ref="C14:D14"/>
    <mergeCell ref="C15:D15"/>
    <mergeCell ref="C16:D16"/>
    <mergeCell ref="C17:D17"/>
    <mergeCell ref="C18:D18"/>
    <mergeCell ref="C29:D29"/>
    <mergeCell ref="C30:D30"/>
    <mergeCell ref="C31:D31"/>
    <mergeCell ref="C32:D32"/>
    <mergeCell ref="C33:D33"/>
    <mergeCell ref="C24:D24"/>
    <mergeCell ref="C25:D25"/>
    <mergeCell ref="C26:D26"/>
    <mergeCell ref="C27:D27"/>
    <mergeCell ref="C28:D28"/>
    <mergeCell ref="E28:F28"/>
    <mergeCell ref="E27:F27"/>
    <mergeCell ref="E26:F26"/>
    <mergeCell ref="E25:F25"/>
    <mergeCell ref="E24:F24"/>
    <mergeCell ref="E33:F33"/>
    <mergeCell ref="E32:F32"/>
    <mergeCell ref="E31:F31"/>
    <mergeCell ref="E30:F30"/>
    <mergeCell ref="E29:F29"/>
    <mergeCell ref="E18:F18"/>
    <mergeCell ref="E17:F17"/>
    <mergeCell ref="E16:F16"/>
    <mergeCell ref="E15:F15"/>
    <mergeCell ref="E14:F14"/>
    <mergeCell ref="E23:F23"/>
    <mergeCell ref="E22:F22"/>
    <mergeCell ref="E21:F21"/>
    <mergeCell ref="E20:F20"/>
    <mergeCell ref="E19:F19"/>
    <mergeCell ref="G17:H17"/>
    <mergeCell ref="I17:J17"/>
    <mergeCell ref="G18:H18"/>
    <mergeCell ref="I18:J18"/>
    <mergeCell ref="G19:H19"/>
    <mergeCell ref="G14:H14"/>
    <mergeCell ref="I14:J14"/>
    <mergeCell ref="G15:H15"/>
    <mergeCell ref="I15:J15"/>
    <mergeCell ref="G16:H16"/>
    <mergeCell ref="I16:J16"/>
    <mergeCell ref="I22:J22"/>
    <mergeCell ref="I23:J23"/>
    <mergeCell ref="G22:H22"/>
    <mergeCell ref="G23:H23"/>
    <mergeCell ref="G24:H24"/>
    <mergeCell ref="I24:J24"/>
    <mergeCell ref="G20:H20"/>
    <mergeCell ref="G21:H21"/>
    <mergeCell ref="I19:J19"/>
    <mergeCell ref="I20:J20"/>
    <mergeCell ref="I21:J21"/>
    <mergeCell ref="I26:J26"/>
    <mergeCell ref="I27:J27"/>
    <mergeCell ref="I28:J28"/>
    <mergeCell ref="I29:J29"/>
    <mergeCell ref="G25:H25"/>
    <mergeCell ref="G26:H26"/>
    <mergeCell ref="G27:H27"/>
    <mergeCell ref="G28:H28"/>
    <mergeCell ref="G29:H29"/>
    <mergeCell ref="B2:B10"/>
    <mergeCell ref="B11:J12"/>
    <mergeCell ref="M31:N31"/>
    <mergeCell ref="M32:N32"/>
    <mergeCell ref="M33:N33"/>
    <mergeCell ref="M26:N26"/>
    <mergeCell ref="M27:N27"/>
    <mergeCell ref="M28:N28"/>
    <mergeCell ref="M29:N29"/>
    <mergeCell ref="M30:N30"/>
    <mergeCell ref="M21:N21"/>
    <mergeCell ref="M22:N22"/>
    <mergeCell ref="M23:N23"/>
    <mergeCell ref="M24:N24"/>
    <mergeCell ref="M25:N25"/>
    <mergeCell ref="G30:H30"/>
    <mergeCell ref="G31:H31"/>
    <mergeCell ref="G32:H32"/>
    <mergeCell ref="G33:H33"/>
    <mergeCell ref="I30:J30"/>
    <mergeCell ref="I31:J31"/>
    <mergeCell ref="I32:J32"/>
    <mergeCell ref="I33:J33"/>
    <mergeCell ref="I25:J25"/>
  </mergeCells>
  <phoneticPr fontId="2" type="noConversion"/>
  <conditionalFormatting sqref="C4:H4">
    <cfRule type="expression" dxfId="49" priority="4" stopIfTrue="1">
      <formula>DAY(C4)&gt;8</formula>
    </cfRule>
  </conditionalFormatting>
  <conditionalFormatting sqref="C8:I10">
    <cfRule type="expression" dxfId="48" priority="3" stopIfTrue="1">
      <formula>AND(DAY(C8)&gt;=1,DAY(C8)&lt;=15)</formula>
    </cfRule>
  </conditionalFormatting>
  <conditionalFormatting sqref="C4:I9">
    <cfRule type="expression" dxfId="47" priority="15">
      <formula>VLOOKUP(DAY(C4),DíasDeTareas,1,FALSE)=DAY(C4)</formula>
    </cfRule>
  </conditionalFormatting>
  <conditionalFormatting sqref="B14:J33">
    <cfRule type="expression" dxfId="46" priority="1">
      <formula>B14&lt;&gt;""</formula>
    </cfRule>
  </conditionalFormatting>
  <dataValidations count="1">
    <dataValidation allowBlank="1" showInputMessage="1" showErrorMessage="1" errorTitle="Invalid Year" error="Enter a year from 1900 to 9999, or use the scroll bar to find a year." sqref="N2"/>
  </dataValidations>
  <printOptions horizontalCentered="1"/>
  <pageMargins left="0.5" right="0.5" top="0.5" bottom="0.5" header="0.3" footer="0.3"/>
  <pageSetup scale="63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Spinner 1">
              <controlPr defaultSize="0" print="0" autoPict="0" altText="Spinner control. Use spinner to change calendar year or type desired year in cell L2 ">
                <anchor moveWithCells="1">
                  <from>
                    <xdr:col>14</xdr:col>
                    <xdr:colOff>28575</xdr:colOff>
                    <xdr:row>1</xdr:row>
                    <xdr:rowOff>85725</xdr:rowOff>
                  </from>
                  <to>
                    <xdr:col>15</xdr:col>
                    <xdr:colOff>0</xdr:colOff>
                    <xdr:row>2</xdr:row>
                    <xdr:rowOff>161925</xdr:rowOff>
                  </to>
                </anchor>
              </controlPr>
            </control>
          </mc:Choice>
        </mc:AlternateContent>
      </controls>
    </mc:Choice>
  </mc:AlternateContent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N33"/>
  <sheetViews>
    <sheetView showGridLines="0" topLeftCell="C15" zoomScaleNormal="100" zoomScalePageLayoutView="84" workbookViewId="0">
      <selection activeCell="M25" sqref="M25:N25"/>
    </sheetView>
  </sheetViews>
  <sheetFormatPr baseColWidth="10" defaultColWidth="8.7109375" defaultRowHeight="16.5" customHeight="1" x14ac:dyDescent="0.2"/>
  <cols>
    <col min="1" max="1" width="2.28515625" style="27" customWidth="1"/>
    <col min="2" max="2" width="12.7109375" style="27" customWidth="1"/>
    <col min="3" max="10" width="6.7109375" style="27" customWidth="1"/>
    <col min="11" max="11" width="7.28515625" style="27" customWidth="1"/>
    <col min="12" max="12" width="3.85546875" style="27" customWidth="1"/>
    <col min="13" max="13" width="51.42578125" style="27" customWidth="1"/>
    <col min="14" max="14" width="10.7109375" style="27" customWidth="1"/>
    <col min="15" max="15" width="2.28515625" style="27" customWidth="1"/>
    <col min="16" max="22" width="8.85546875" style="27" customWidth="1"/>
    <col min="23" max="16384" width="8.7109375" style="27"/>
  </cols>
  <sheetData>
    <row r="1" spans="1:14" ht="11.25" customHeight="1" x14ac:dyDescent="0.2"/>
    <row r="2" spans="1:14" ht="18" customHeight="1" x14ac:dyDescent="0.2">
      <c r="A2" s="28"/>
      <c r="B2" s="149" t="s">
        <v>18</v>
      </c>
      <c r="C2" s="29"/>
      <c r="D2" s="29"/>
      <c r="E2" s="29"/>
      <c r="F2" s="29"/>
      <c r="G2" s="29"/>
      <c r="H2" s="29"/>
      <c r="I2" s="29"/>
      <c r="J2" s="30"/>
      <c r="K2" s="152" t="s">
        <v>3</v>
      </c>
      <c r="L2" s="153">
        <v>2013</v>
      </c>
      <c r="M2" s="153"/>
      <c r="N2" s="31"/>
    </row>
    <row r="3" spans="1:14" ht="21" customHeight="1" x14ac:dyDescent="0.2">
      <c r="A3" s="28"/>
      <c r="B3" s="150"/>
      <c r="C3" s="32" t="s">
        <v>5</v>
      </c>
      <c r="D3" s="32" t="s">
        <v>1</v>
      </c>
      <c r="E3" s="32" t="s">
        <v>6</v>
      </c>
      <c r="F3" s="32" t="s">
        <v>7</v>
      </c>
      <c r="G3" s="32" t="s">
        <v>8</v>
      </c>
      <c r="H3" s="32" t="s">
        <v>0</v>
      </c>
      <c r="I3" s="32" t="s">
        <v>9</v>
      </c>
      <c r="J3" s="33"/>
      <c r="K3" s="154"/>
      <c r="L3" s="155"/>
      <c r="M3" s="155"/>
      <c r="N3" s="34"/>
    </row>
    <row r="4" spans="1:14" ht="18" customHeight="1" x14ac:dyDescent="0.2">
      <c r="A4" s="28"/>
      <c r="B4" s="150"/>
      <c r="C4" s="35">
        <f>IF(DAY(OctDom1)=1,OctDom1-6,OctDom1+1)</f>
        <v>43374</v>
      </c>
      <c r="D4" s="35">
        <f>IF(DAY(OctDom1)=1,OctDom1-5,OctDom1+2)</f>
        <v>43375</v>
      </c>
      <c r="E4" s="35">
        <f>IF(DAY(OctDom1)=1,OctDom1-4,OctDom1+3)</f>
        <v>43376</v>
      </c>
      <c r="F4" s="35">
        <f>IF(DAY(OctDom1)=1,OctDom1-3,OctDom1+4)</f>
        <v>43377</v>
      </c>
      <c r="G4" s="35">
        <f>IF(DAY(OctDom1)=1,OctDom1-2,OctDom1+5)</f>
        <v>43378</v>
      </c>
      <c r="H4" s="35">
        <f>IF(DAY(OctDom1)=1,OctDom1-1,OctDom1+6)</f>
        <v>43379</v>
      </c>
      <c r="I4" s="35">
        <f>IF(DAY(OctDom1)=1,OctDom1,OctDom1+7)</f>
        <v>43380</v>
      </c>
      <c r="J4" s="33"/>
      <c r="K4" s="156" t="s">
        <v>12</v>
      </c>
      <c r="L4" s="50">
        <v>1</v>
      </c>
      <c r="M4" s="157" t="s">
        <v>27</v>
      </c>
      <c r="N4" s="158"/>
    </row>
    <row r="5" spans="1:14" ht="18" customHeight="1" x14ac:dyDescent="0.2">
      <c r="A5" s="28"/>
      <c r="B5" s="150"/>
      <c r="C5" s="35">
        <f>IF(DAY(OctDom1)=1,OctDom1+1,OctDom1+8)</f>
        <v>43381</v>
      </c>
      <c r="D5" s="35">
        <f>IF(DAY(OctDom1)=1,OctDom1+2,OctDom1+9)</f>
        <v>43382</v>
      </c>
      <c r="E5" s="35">
        <f>IF(DAY(OctDom1)=1,OctDom1+3,OctDom1+10)</f>
        <v>43383</v>
      </c>
      <c r="F5" s="35">
        <f>IF(DAY(OctDom1)=1,OctDom1+4,OctDom1+11)</f>
        <v>43384</v>
      </c>
      <c r="G5" s="35">
        <f>IF(DAY(OctDom1)=1,OctDom1+5,OctDom1+12)</f>
        <v>43385</v>
      </c>
      <c r="H5" s="35">
        <f>IF(DAY(OctDom1)=1,OctDom1+6,OctDom1+13)</f>
        <v>43386</v>
      </c>
      <c r="I5" s="35">
        <f>IF(DAY(OctDom1)=1,OctDom1+7,OctDom1+14)</f>
        <v>43387</v>
      </c>
      <c r="J5" s="33"/>
      <c r="K5" s="126"/>
      <c r="L5" s="51">
        <v>8</v>
      </c>
      <c r="M5" s="109" t="s">
        <v>33</v>
      </c>
      <c r="N5" s="110"/>
    </row>
    <row r="6" spans="1:14" ht="18" customHeight="1" x14ac:dyDescent="0.2">
      <c r="A6" s="28"/>
      <c r="B6" s="150"/>
      <c r="C6" s="35">
        <f>IF(DAY(OctDom1)=1,OctDom1+8,OctDom1+15)</f>
        <v>43388</v>
      </c>
      <c r="D6" s="35">
        <f>IF(DAY(OctDom1)=1,OctDom1+9,OctDom1+16)</f>
        <v>43389</v>
      </c>
      <c r="E6" s="35">
        <f>IF(DAY(OctDom1)=1,OctDom1+10,OctDom1+17)</f>
        <v>43390</v>
      </c>
      <c r="F6" s="35">
        <f>IF(DAY(OctDom1)=1,OctDom1+11,OctDom1+18)</f>
        <v>43391</v>
      </c>
      <c r="G6" s="35">
        <f>IF(DAY(OctDom1)=1,OctDom1+12,OctDom1+19)</f>
        <v>43392</v>
      </c>
      <c r="H6" s="35">
        <f>IF(DAY(OctDom1)=1,OctDom1+13,OctDom1+20)</f>
        <v>43393</v>
      </c>
      <c r="I6" s="35">
        <f>IF(DAY(OctDom1)=1,OctDom1+14,OctDom1+21)</f>
        <v>43394</v>
      </c>
      <c r="J6" s="33"/>
      <c r="K6" s="126"/>
      <c r="L6" s="51">
        <v>15</v>
      </c>
      <c r="M6" s="109" t="s">
        <v>41</v>
      </c>
      <c r="N6" s="110"/>
    </row>
    <row r="7" spans="1:14" ht="18" customHeight="1" x14ac:dyDescent="0.2">
      <c r="A7" s="28"/>
      <c r="B7" s="150"/>
      <c r="C7" s="35">
        <f>IF(DAY(OctDom1)=1,OctDom1+15,OctDom1+22)</f>
        <v>43395</v>
      </c>
      <c r="D7" s="35">
        <f>IF(DAY(OctDom1)=1,OctDom1+16,OctDom1+23)</f>
        <v>43396</v>
      </c>
      <c r="E7" s="35">
        <f>IF(DAY(OctDom1)=1,OctDom1+17,OctDom1+24)</f>
        <v>43397</v>
      </c>
      <c r="F7" s="35">
        <f>IF(DAY(OctDom1)=1,OctDom1+18,OctDom1+25)</f>
        <v>43398</v>
      </c>
      <c r="G7" s="35">
        <f>IF(DAY(OctDom1)=1,OctDom1+19,OctDom1+26)</f>
        <v>43399</v>
      </c>
      <c r="H7" s="35">
        <f>IF(DAY(OctDom1)=1,OctDom1+20,OctDom1+27)</f>
        <v>43400</v>
      </c>
      <c r="I7" s="35">
        <f>IF(DAY(OctDom1)=1,OctDom1+21,OctDom1+28)</f>
        <v>43401</v>
      </c>
      <c r="J7" s="33"/>
      <c r="K7" s="37"/>
      <c r="L7" s="51"/>
      <c r="M7" s="109"/>
      <c r="N7" s="110"/>
    </row>
    <row r="8" spans="1:14" ht="28.5" customHeight="1" x14ac:dyDescent="0.2">
      <c r="A8" s="28"/>
      <c r="B8" s="150"/>
      <c r="C8" s="35">
        <f>IF(DAY(OctDom1)=1,OctDom1+22,OctDom1+29)</f>
        <v>43402</v>
      </c>
      <c r="D8" s="35">
        <f>IF(DAY(OctDom1)=1,OctDom1+23,OctDom1+30)</f>
        <v>43403</v>
      </c>
      <c r="E8" s="35">
        <f>IF(DAY(OctDom1)=1,OctDom1+24,OctDom1+31)</f>
        <v>43404</v>
      </c>
      <c r="F8" s="35">
        <f>IF(DAY(OctDom1)=1,OctDom1+25,OctDom1+32)</f>
        <v>43405</v>
      </c>
      <c r="G8" s="35">
        <f>IF(DAY(OctDom1)=1,OctDom1+26,OctDom1+33)</f>
        <v>43406</v>
      </c>
      <c r="H8" s="35">
        <f>IF(DAY(OctDom1)=1,OctDom1+27,OctDom1+34)</f>
        <v>43407</v>
      </c>
      <c r="I8" s="35">
        <f>IF(DAY(OctDom1)=1,OctDom1+28,OctDom1+35)</f>
        <v>43408</v>
      </c>
      <c r="J8" s="33"/>
      <c r="K8" s="37"/>
      <c r="L8" s="51">
        <v>29</v>
      </c>
      <c r="M8" s="159" t="s">
        <v>36</v>
      </c>
      <c r="N8" s="160"/>
    </row>
    <row r="9" spans="1:14" ht="18" customHeight="1" x14ac:dyDescent="0.2">
      <c r="A9" s="28"/>
      <c r="B9" s="150"/>
      <c r="C9" s="35">
        <f>IF(DAY(OctDom1)=1,OctDom1+29,OctDom1+36)</f>
        <v>43409</v>
      </c>
      <c r="D9" s="35">
        <f>IF(DAY(OctDom1)=1,OctDom1+30,OctDom1+37)</f>
        <v>43410</v>
      </c>
      <c r="E9" s="35">
        <f>IF(DAY(OctDom1)=1,OctDom1+31,OctDom1+38)</f>
        <v>43411</v>
      </c>
      <c r="F9" s="35">
        <f>IF(DAY(OctDom1)=1,OctDom1+32,OctDom1+39)</f>
        <v>43412</v>
      </c>
      <c r="G9" s="35">
        <f>IF(DAY(OctDom1)=1,OctDom1+33,OctDom1+40)</f>
        <v>43413</v>
      </c>
      <c r="H9" s="35">
        <f>IF(DAY(OctDom1)=1,OctDom1+34,OctDom1+41)</f>
        <v>43414</v>
      </c>
      <c r="I9" s="35">
        <f>IF(DAY(OctDom1)=1,OctDom1+35,OctDom1+42)</f>
        <v>43415</v>
      </c>
      <c r="J9" s="33"/>
      <c r="K9" s="38"/>
      <c r="L9" s="52"/>
      <c r="M9" s="131"/>
      <c r="N9" s="132"/>
    </row>
    <row r="10" spans="1:14" ht="18" customHeight="1" x14ac:dyDescent="0.2">
      <c r="A10" s="28"/>
      <c r="B10" s="151"/>
      <c r="C10" s="39"/>
      <c r="D10" s="39"/>
      <c r="E10" s="39"/>
      <c r="F10" s="39"/>
      <c r="G10" s="39"/>
      <c r="H10" s="39"/>
      <c r="I10" s="39"/>
      <c r="J10" s="40"/>
      <c r="K10" s="125" t="s">
        <v>13</v>
      </c>
      <c r="L10" s="50">
        <v>2</v>
      </c>
      <c r="M10" s="127" t="s">
        <v>28</v>
      </c>
      <c r="N10" s="128"/>
    </row>
    <row r="11" spans="1:14" ht="18" customHeight="1" x14ac:dyDescent="0.2">
      <c r="A11" s="28"/>
      <c r="B11" s="143" t="s">
        <v>11</v>
      </c>
      <c r="C11" s="144"/>
      <c r="D11" s="144"/>
      <c r="E11" s="144"/>
      <c r="F11" s="144"/>
      <c r="G11" s="144"/>
      <c r="H11" s="144"/>
      <c r="I11" s="144"/>
      <c r="J11" s="145"/>
      <c r="K11" s="126"/>
      <c r="L11" s="51">
        <v>9</v>
      </c>
      <c r="M11" s="109" t="s">
        <v>38</v>
      </c>
      <c r="N11" s="110"/>
    </row>
    <row r="12" spans="1:14" ht="18" customHeight="1" x14ac:dyDescent="0.2">
      <c r="A12" s="28"/>
      <c r="B12" s="143"/>
      <c r="C12" s="144"/>
      <c r="D12" s="144"/>
      <c r="E12" s="144"/>
      <c r="F12" s="144"/>
      <c r="G12" s="144"/>
      <c r="H12" s="144"/>
      <c r="I12" s="144"/>
      <c r="J12" s="145"/>
      <c r="K12" s="126"/>
      <c r="L12" s="51">
        <v>16</v>
      </c>
      <c r="M12" s="109" t="s">
        <v>37</v>
      </c>
      <c r="N12" s="110"/>
    </row>
    <row r="13" spans="1:14" ht="30" customHeight="1" x14ac:dyDescent="0.2">
      <c r="B13" s="41" t="s">
        <v>12</v>
      </c>
      <c r="C13" s="146" t="s">
        <v>13</v>
      </c>
      <c r="D13" s="147"/>
      <c r="E13" s="146" t="s">
        <v>14</v>
      </c>
      <c r="F13" s="147"/>
      <c r="G13" s="146" t="s">
        <v>15</v>
      </c>
      <c r="H13" s="147"/>
      <c r="I13" s="146" t="s">
        <v>16</v>
      </c>
      <c r="J13" s="148"/>
      <c r="K13" s="37"/>
      <c r="L13" s="51">
        <v>23</v>
      </c>
      <c r="M13" s="56" t="s">
        <v>30</v>
      </c>
      <c r="N13" s="55"/>
    </row>
    <row r="14" spans="1:14" ht="18" customHeight="1" x14ac:dyDescent="0.2">
      <c r="B14" s="42"/>
      <c r="C14" s="123"/>
      <c r="D14" s="124"/>
      <c r="E14" s="123"/>
      <c r="F14" s="124"/>
      <c r="G14" s="123"/>
      <c r="H14" s="124"/>
      <c r="I14" s="137" t="s">
        <v>32</v>
      </c>
      <c r="J14" s="138"/>
      <c r="K14" s="37"/>
      <c r="L14" s="51">
        <v>30</v>
      </c>
      <c r="M14" s="109" t="s">
        <v>39</v>
      </c>
      <c r="N14" s="110"/>
    </row>
    <row r="15" spans="1:14" ht="12.75" x14ac:dyDescent="0.2">
      <c r="B15" s="43"/>
      <c r="C15" s="129"/>
      <c r="D15" s="130"/>
      <c r="E15" s="129"/>
      <c r="F15" s="130"/>
      <c r="G15" s="129"/>
      <c r="H15" s="130"/>
      <c r="I15" s="137"/>
      <c r="J15" s="138"/>
      <c r="K15" s="44"/>
      <c r="L15" s="53"/>
      <c r="M15" s="131"/>
      <c r="N15" s="132"/>
    </row>
    <row r="16" spans="1:14" ht="34.5" customHeight="1" x14ac:dyDescent="0.2">
      <c r="B16" s="42"/>
      <c r="C16" s="123"/>
      <c r="D16" s="124"/>
      <c r="E16" s="123"/>
      <c r="F16" s="124"/>
      <c r="G16" s="123"/>
      <c r="H16" s="124"/>
      <c r="I16" s="137"/>
      <c r="J16" s="138"/>
      <c r="K16" s="133" t="s">
        <v>14</v>
      </c>
      <c r="L16" s="50">
        <v>3</v>
      </c>
      <c r="M16" s="135" t="s">
        <v>30</v>
      </c>
      <c r="N16" s="136"/>
    </row>
    <row r="17" spans="2:14" ht="18" customHeight="1" x14ac:dyDescent="0.2">
      <c r="B17" s="43"/>
      <c r="C17" s="129"/>
      <c r="D17" s="130"/>
      <c r="E17" s="129"/>
      <c r="F17" s="130"/>
      <c r="G17" s="129"/>
      <c r="H17" s="130"/>
      <c r="I17" s="137"/>
      <c r="J17" s="138"/>
      <c r="K17" s="134"/>
      <c r="L17" s="51"/>
      <c r="M17" s="109"/>
      <c r="N17" s="110"/>
    </row>
    <row r="18" spans="2:14" ht="18" customHeight="1" x14ac:dyDescent="0.2">
      <c r="B18" s="45"/>
      <c r="C18" s="141"/>
      <c r="D18" s="142"/>
      <c r="E18" s="141"/>
      <c r="F18" s="142"/>
      <c r="G18" s="141"/>
      <c r="H18" s="142"/>
      <c r="I18" s="137"/>
      <c r="J18" s="138"/>
      <c r="K18" s="134"/>
      <c r="L18" s="51">
        <v>17</v>
      </c>
      <c r="M18" s="109" t="s">
        <v>40</v>
      </c>
      <c r="N18" s="110"/>
    </row>
    <row r="19" spans="2:14" ht="18" customHeight="1" x14ac:dyDescent="0.2">
      <c r="B19" s="43"/>
      <c r="C19" s="129"/>
      <c r="D19" s="130"/>
      <c r="E19" s="129"/>
      <c r="F19" s="130"/>
      <c r="G19" s="129"/>
      <c r="H19" s="130"/>
      <c r="I19" s="137"/>
      <c r="J19" s="138"/>
      <c r="K19" s="37"/>
      <c r="L19" s="51"/>
    </row>
    <row r="20" spans="2:14" ht="18" customHeight="1" x14ac:dyDescent="0.2">
      <c r="B20" s="42"/>
      <c r="C20" s="123"/>
      <c r="D20" s="124"/>
      <c r="E20" s="123"/>
      <c r="F20" s="124"/>
      <c r="G20" s="123"/>
      <c r="H20" s="124"/>
      <c r="I20" s="137"/>
      <c r="J20" s="138"/>
      <c r="K20" s="37"/>
      <c r="L20" s="51">
        <v>31</v>
      </c>
      <c r="M20" s="109" t="s">
        <v>43</v>
      </c>
      <c r="N20" s="110"/>
    </row>
    <row r="21" spans="2:14" ht="18" customHeight="1" x14ac:dyDescent="0.2">
      <c r="B21" s="43"/>
      <c r="C21" s="129"/>
      <c r="D21" s="130"/>
      <c r="E21" s="129"/>
      <c r="F21" s="130"/>
      <c r="G21" s="129"/>
      <c r="H21" s="130"/>
      <c r="I21" s="137"/>
      <c r="J21" s="138"/>
      <c r="K21" s="44"/>
      <c r="L21" s="53"/>
      <c r="M21" s="131"/>
      <c r="N21" s="132"/>
    </row>
    <row r="22" spans="2:14" ht="30" customHeight="1" x14ac:dyDescent="0.2">
      <c r="B22" s="42"/>
      <c r="C22" s="123"/>
      <c r="D22" s="124"/>
      <c r="E22" s="123"/>
      <c r="F22" s="124"/>
      <c r="G22" s="123"/>
      <c r="H22" s="124"/>
      <c r="I22" s="137"/>
      <c r="J22" s="138"/>
      <c r="K22" s="133" t="s">
        <v>15</v>
      </c>
      <c r="L22" s="50">
        <v>4</v>
      </c>
      <c r="M22" s="135" t="s">
        <v>31</v>
      </c>
      <c r="N22" s="136"/>
    </row>
    <row r="23" spans="2:14" ht="18" customHeight="1" x14ac:dyDescent="0.2">
      <c r="B23" s="43"/>
      <c r="C23" s="129"/>
      <c r="D23" s="130"/>
      <c r="E23" s="129"/>
      <c r="F23" s="130"/>
      <c r="G23" s="129"/>
      <c r="H23" s="130"/>
      <c r="I23" s="137"/>
      <c r="J23" s="138"/>
      <c r="K23" s="134"/>
      <c r="L23" s="51"/>
      <c r="M23" s="109"/>
      <c r="N23" s="110"/>
    </row>
    <row r="24" spans="2:14" ht="18" customHeight="1" x14ac:dyDescent="0.2">
      <c r="B24" s="42"/>
      <c r="C24" s="123"/>
      <c r="D24" s="124"/>
      <c r="E24" s="123"/>
      <c r="F24" s="124"/>
      <c r="G24" s="123"/>
      <c r="H24" s="124"/>
      <c r="I24" s="137"/>
      <c r="J24" s="138"/>
      <c r="K24" s="134"/>
      <c r="L24" s="51">
        <v>18</v>
      </c>
      <c r="M24" s="109" t="s">
        <v>44</v>
      </c>
      <c r="N24" s="110"/>
    </row>
    <row r="25" spans="2:14" ht="18" customHeight="1" x14ac:dyDescent="0.2">
      <c r="B25" s="43"/>
      <c r="C25" s="129"/>
      <c r="D25" s="130"/>
      <c r="E25" s="129"/>
      <c r="F25" s="130"/>
      <c r="G25" s="129"/>
      <c r="H25" s="130"/>
      <c r="I25" s="137"/>
      <c r="J25" s="138"/>
      <c r="K25" s="134"/>
      <c r="L25" s="51">
        <v>25</v>
      </c>
      <c r="M25" s="109" t="s">
        <v>35</v>
      </c>
      <c r="N25" s="110"/>
    </row>
    <row r="26" spans="2:14" ht="18" customHeight="1" x14ac:dyDescent="0.2">
      <c r="B26" s="42"/>
      <c r="C26" s="123"/>
      <c r="D26" s="124"/>
      <c r="E26" s="123"/>
      <c r="F26" s="124"/>
      <c r="G26" s="123"/>
      <c r="H26" s="124"/>
      <c r="I26" s="137"/>
      <c r="J26" s="138"/>
      <c r="K26" s="37"/>
      <c r="L26" s="51"/>
      <c r="M26" s="109"/>
      <c r="N26" s="110"/>
    </row>
    <row r="27" spans="2:14" ht="18" customHeight="1" x14ac:dyDescent="0.2">
      <c r="B27" s="43"/>
      <c r="C27" s="129"/>
      <c r="D27" s="130"/>
      <c r="E27" s="129"/>
      <c r="F27" s="130"/>
      <c r="G27" s="129"/>
      <c r="H27" s="130"/>
      <c r="I27" s="137"/>
      <c r="J27" s="138"/>
      <c r="K27" s="44"/>
      <c r="L27" s="53"/>
      <c r="M27" s="131"/>
      <c r="N27" s="132"/>
    </row>
    <row r="28" spans="2:14" ht="18" customHeight="1" x14ac:dyDescent="0.2">
      <c r="B28" s="42"/>
      <c r="C28" s="123"/>
      <c r="D28" s="124"/>
      <c r="E28" s="123"/>
      <c r="F28" s="124"/>
      <c r="G28" s="123"/>
      <c r="H28" s="124"/>
      <c r="I28" s="137"/>
      <c r="J28" s="138"/>
      <c r="K28" s="125" t="s">
        <v>16</v>
      </c>
      <c r="L28" s="50">
        <v>5</v>
      </c>
      <c r="M28" s="127" t="s">
        <v>42</v>
      </c>
      <c r="N28" s="128"/>
    </row>
    <row r="29" spans="2:14" ht="18" customHeight="1" x14ac:dyDescent="0.2">
      <c r="B29" s="43"/>
      <c r="C29" s="129"/>
      <c r="D29" s="130"/>
      <c r="E29" s="129"/>
      <c r="F29" s="130"/>
      <c r="G29" s="129"/>
      <c r="H29" s="130"/>
      <c r="I29" s="139"/>
      <c r="J29" s="140"/>
      <c r="K29" s="126"/>
      <c r="L29" s="51"/>
      <c r="M29" s="109"/>
      <c r="N29" s="110"/>
    </row>
    <row r="30" spans="2:14" ht="18" customHeight="1" x14ac:dyDescent="0.2">
      <c r="B30" s="111" t="s">
        <v>29</v>
      </c>
      <c r="C30" s="112"/>
      <c r="D30" s="112"/>
      <c r="E30" s="112"/>
      <c r="F30" s="112"/>
      <c r="G30" s="112"/>
      <c r="H30" s="112"/>
      <c r="I30" s="112"/>
      <c r="J30" s="113"/>
      <c r="K30" s="126"/>
      <c r="L30" s="51"/>
      <c r="M30" s="109"/>
      <c r="N30" s="110"/>
    </row>
    <row r="31" spans="2:14" ht="18" customHeight="1" x14ac:dyDescent="0.2">
      <c r="B31" s="114"/>
      <c r="C31" s="115"/>
      <c r="D31" s="115"/>
      <c r="E31" s="115"/>
      <c r="F31" s="115"/>
      <c r="G31" s="115"/>
      <c r="H31" s="115"/>
      <c r="I31" s="115"/>
      <c r="J31" s="116"/>
      <c r="K31" s="46"/>
      <c r="L31" s="51"/>
      <c r="M31" s="109"/>
      <c r="N31" s="110"/>
    </row>
    <row r="32" spans="2:14" ht="18" customHeight="1" x14ac:dyDescent="0.2">
      <c r="B32" s="114"/>
      <c r="C32" s="115"/>
      <c r="D32" s="115"/>
      <c r="E32" s="115"/>
      <c r="F32" s="115"/>
      <c r="G32" s="115"/>
      <c r="H32" s="115"/>
      <c r="I32" s="115"/>
      <c r="J32" s="116"/>
      <c r="K32" s="46"/>
      <c r="L32" s="51"/>
      <c r="M32" s="109"/>
      <c r="N32" s="110"/>
    </row>
    <row r="33" spans="2:14" ht="18" customHeight="1" x14ac:dyDescent="0.2">
      <c r="B33" s="47"/>
      <c r="C33" s="117"/>
      <c r="D33" s="118"/>
      <c r="E33" s="117"/>
      <c r="F33" s="118"/>
      <c r="G33" s="117"/>
      <c r="H33" s="118"/>
      <c r="I33" s="119"/>
      <c r="J33" s="120"/>
      <c r="K33" s="48"/>
      <c r="L33" s="49"/>
      <c r="M33" s="121"/>
      <c r="N33" s="122"/>
    </row>
  </sheetData>
  <mergeCells count="94">
    <mergeCell ref="K10:K12"/>
    <mergeCell ref="M5:N5"/>
    <mergeCell ref="M6:N6"/>
    <mergeCell ref="M7:N7"/>
    <mergeCell ref="M8:N8"/>
    <mergeCell ref="M9:N9"/>
    <mergeCell ref="C14:D14"/>
    <mergeCell ref="E14:F14"/>
    <mergeCell ref="G14:H14"/>
    <mergeCell ref="M14:N14"/>
    <mergeCell ref="M10:N10"/>
    <mergeCell ref="B11:J12"/>
    <mergeCell ref="M11:N11"/>
    <mergeCell ref="M12:N12"/>
    <mergeCell ref="C13:D13"/>
    <mergeCell ref="E13:F13"/>
    <mergeCell ref="G13:H13"/>
    <mergeCell ref="I13:J13"/>
    <mergeCell ref="B2:B10"/>
    <mergeCell ref="K2:M3"/>
    <mergeCell ref="K4:K6"/>
    <mergeCell ref="M4:N4"/>
    <mergeCell ref="C15:D15"/>
    <mergeCell ref="E15:F15"/>
    <mergeCell ref="G15:H15"/>
    <mergeCell ref="M15:N15"/>
    <mergeCell ref="I14:J29"/>
    <mergeCell ref="M17:N17"/>
    <mergeCell ref="C18:D18"/>
    <mergeCell ref="E18:F18"/>
    <mergeCell ref="G18:H18"/>
    <mergeCell ref="M18:N18"/>
    <mergeCell ref="C16:D16"/>
    <mergeCell ref="E16:F16"/>
    <mergeCell ref="G16:H16"/>
    <mergeCell ref="K16:K18"/>
    <mergeCell ref="M16:N16"/>
    <mergeCell ref="C17:D17"/>
    <mergeCell ref="C20:D20"/>
    <mergeCell ref="E20:F20"/>
    <mergeCell ref="G20:H20"/>
    <mergeCell ref="M20:N20"/>
    <mergeCell ref="E17:F17"/>
    <mergeCell ref="G17:H17"/>
    <mergeCell ref="C19:D19"/>
    <mergeCell ref="E19:F19"/>
    <mergeCell ref="G19:H19"/>
    <mergeCell ref="M22:N22"/>
    <mergeCell ref="C23:D23"/>
    <mergeCell ref="E23:F23"/>
    <mergeCell ref="G23:H23"/>
    <mergeCell ref="M23:N23"/>
    <mergeCell ref="C21:D21"/>
    <mergeCell ref="E21:F21"/>
    <mergeCell ref="G21:H21"/>
    <mergeCell ref="M21:N21"/>
    <mergeCell ref="C22:D22"/>
    <mergeCell ref="E22:F22"/>
    <mergeCell ref="G22:H22"/>
    <mergeCell ref="K22:K25"/>
    <mergeCell ref="C24:D24"/>
    <mergeCell ref="E24:F24"/>
    <mergeCell ref="G24:H24"/>
    <mergeCell ref="M24:N24"/>
    <mergeCell ref="C25:D25"/>
    <mergeCell ref="E25:F25"/>
    <mergeCell ref="G25:H25"/>
    <mergeCell ref="M25:N25"/>
    <mergeCell ref="C26:D26"/>
    <mergeCell ref="E26:F26"/>
    <mergeCell ref="G26:H26"/>
    <mergeCell ref="M26:N26"/>
    <mergeCell ref="C27:D27"/>
    <mergeCell ref="E27:F27"/>
    <mergeCell ref="G27:H27"/>
    <mergeCell ref="M27:N27"/>
    <mergeCell ref="C28:D28"/>
    <mergeCell ref="E28:F28"/>
    <mergeCell ref="G28:H28"/>
    <mergeCell ref="K28:K30"/>
    <mergeCell ref="M28:N28"/>
    <mergeCell ref="C29:D29"/>
    <mergeCell ref="E29:F29"/>
    <mergeCell ref="G29:H29"/>
    <mergeCell ref="C33:D33"/>
    <mergeCell ref="E33:F33"/>
    <mergeCell ref="G33:H33"/>
    <mergeCell ref="I33:J33"/>
    <mergeCell ref="M33:N33"/>
    <mergeCell ref="M31:N31"/>
    <mergeCell ref="M32:N32"/>
    <mergeCell ref="B30:J32"/>
    <mergeCell ref="M29:N29"/>
    <mergeCell ref="M30:N30"/>
  </mergeCells>
  <conditionalFormatting sqref="C4:H4">
    <cfRule type="expression" dxfId="13" priority="3" stopIfTrue="1">
      <formula>DAY(C4)&gt;8</formula>
    </cfRule>
  </conditionalFormatting>
  <conditionalFormatting sqref="C8:I10">
    <cfRule type="expression" dxfId="12" priority="2" stopIfTrue="1">
      <formula>AND(DAY(C8)&gt;=1,DAY(C8)&lt;=15)</formula>
    </cfRule>
  </conditionalFormatting>
  <conditionalFormatting sqref="C4:I9">
    <cfRule type="expression" dxfId="11" priority="4">
      <formula>VLOOKUP(DAY(C4),DíasDeTareas,1,FALSE)=DAY(C4)</formula>
    </cfRule>
  </conditionalFormatting>
  <conditionalFormatting sqref="B33:J33 B30 B15:H29 B14:I14">
    <cfRule type="expression" dxfId="10" priority="1">
      <formula>B14&lt;&gt;""</formula>
    </cfRule>
  </conditionalFormatting>
  <printOptions horizontalCentered="1"/>
  <pageMargins left="0.5" right="0.5" top="0.5" bottom="0.5" header="0.3" footer="0.3"/>
  <pageSetup scale="63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N33"/>
  <sheetViews>
    <sheetView showGridLines="0" zoomScaleNormal="100" zoomScalePageLayoutView="84" workbookViewId="0">
      <selection activeCell="T20" sqref="T20"/>
    </sheetView>
  </sheetViews>
  <sheetFormatPr baseColWidth="10" defaultColWidth="8.7109375" defaultRowHeight="16.5" customHeight="1" x14ac:dyDescent="0.2"/>
  <cols>
    <col min="1" max="1" width="2.28515625" style="27" customWidth="1"/>
    <col min="2" max="2" width="12.7109375" style="27" customWidth="1"/>
    <col min="3" max="10" width="6.7109375" style="27" customWidth="1"/>
    <col min="11" max="11" width="7.28515625" style="27" customWidth="1"/>
    <col min="12" max="12" width="3.85546875" style="27" customWidth="1"/>
    <col min="13" max="13" width="51.42578125" style="27" customWidth="1"/>
    <col min="14" max="14" width="14.7109375" style="27" customWidth="1"/>
    <col min="15" max="15" width="2.28515625" style="27" customWidth="1"/>
    <col min="16" max="22" width="8.85546875" style="27" customWidth="1"/>
    <col min="23" max="16384" width="8.7109375" style="27"/>
  </cols>
  <sheetData>
    <row r="1" spans="1:14" ht="11.25" customHeight="1" x14ac:dyDescent="0.2"/>
    <row r="2" spans="1:14" ht="18" customHeight="1" x14ac:dyDescent="0.2">
      <c r="A2" s="28"/>
      <c r="B2" s="149" t="s">
        <v>17</v>
      </c>
      <c r="C2" s="29"/>
      <c r="D2" s="29"/>
      <c r="E2" s="29"/>
      <c r="F2" s="29"/>
      <c r="G2" s="29"/>
      <c r="H2" s="29"/>
      <c r="I2" s="29"/>
      <c r="J2" s="30"/>
      <c r="K2" s="152" t="s">
        <v>3</v>
      </c>
      <c r="L2" s="153">
        <v>2013</v>
      </c>
      <c r="M2" s="153"/>
      <c r="N2" s="31"/>
    </row>
    <row r="3" spans="1:14" ht="21" customHeight="1" x14ac:dyDescent="0.2">
      <c r="A3" s="28"/>
      <c r="B3" s="150"/>
      <c r="C3" s="32" t="s">
        <v>5</v>
      </c>
      <c r="D3" s="32" t="s">
        <v>1</v>
      </c>
      <c r="E3" s="32" t="s">
        <v>6</v>
      </c>
      <c r="F3" s="32" t="s">
        <v>7</v>
      </c>
      <c r="G3" s="32" t="s">
        <v>8</v>
      </c>
      <c r="H3" s="32" t="s">
        <v>0</v>
      </c>
      <c r="I3" s="32" t="s">
        <v>9</v>
      </c>
      <c r="J3" s="33"/>
      <c r="K3" s="154"/>
      <c r="L3" s="155"/>
      <c r="M3" s="155"/>
      <c r="N3" s="34"/>
    </row>
    <row r="4" spans="1:14" ht="18" customHeight="1" x14ac:dyDescent="0.2">
      <c r="A4" s="28"/>
      <c r="B4" s="150"/>
      <c r="C4" s="35">
        <f>IF(DAY(NovDom1)=1,NovDom1-6,NovDom1+1)</f>
        <v>43402</v>
      </c>
      <c r="D4" s="35">
        <f>IF(DAY(NovDom1)=1,NovDom1-5,NovDom1+2)</f>
        <v>43403</v>
      </c>
      <c r="E4" s="35">
        <f>IF(DAY(NovDom1)=1,NovDom1-4,NovDom1+3)</f>
        <v>43404</v>
      </c>
      <c r="F4" s="35">
        <f>IF(DAY(NovDom1)=1,NovDom1-3,NovDom1+4)</f>
        <v>43405</v>
      </c>
      <c r="G4" s="35">
        <f>IF(DAY(NovDom1)=1,NovDom1-2,NovDom1+5)</f>
        <v>43406</v>
      </c>
      <c r="H4" s="35">
        <f>IF(DAY(NovDom1)=1,NovDom1-1,NovDom1+6)</f>
        <v>43407</v>
      </c>
      <c r="I4" s="35">
        <f>IF(DAY(NovDom1)=1,NovDom1,NovDom1+7)</f>
        <v>43408</v>
      </c>
      <c r="J4" s="33"/>
      <c r="K4" s="156" t="s">
        <v>12</v>
      </c>
      <c r="L4" s="50">
        <v>5</v>
      </c>
      <c r="M4" s="127" t="s">
        <v>34</v>
      </c>
      <c r="N4" s="128"/>
    </row>
    <row r="5" spans="1:14" ht="18" customHeight="1" x14ac:dyDescent="0.2">
      <c r="A5" s="28"/>
      <c r="B5" s="150"/>
      <c r="C5" s="35">
        <f>IF(DAY(NovDom1)=1,NovDom1+1,NovDom1+8)</f>
        <v>43409</v>
      </c>
      <c r="D5" s="35">
        <f>IF(DAY(NovDom1)=1,NovDom1+2,NovDom1+9)</f>
        <v>43410</v>
      </c>
      <c r="E5" s="35">
        <f>IF(DAY(NovDom1)=1,NovDom1+3,NovDom1+10)</f>
        <v>43411</v>
      </c>
      <c r="F5" s="35">
        <f>IF(DAY(NovDom1)=1,NovDom1+4,NovDom1+11)</f>
        <v>43412</v>
      </c>
      <c r="G5" s="35">
        <f>IF(DAY(NovDom1)=1,NovDom1+5,NovDom1+12)</f>
        <v>43413</v>
      </c>
      <c r="H5" s="35">
        <f>IF(DAY(NovDom1)=1,NovDom1+6,NovDom1+13)</f>
        <v>43414</v>
      </c>
      <c r="I5" s="35">
        <f>IF(DAY(NovDom1)=1,NovDom1+7,NovDom1+14)</f>
        <v>43415</v>
      </c>
      <c r="J5" s="33"/>
      <c r="K5" s="126"/>
      <c r="L5" s="51"/>
      <c r="M5" s="109"/>
      <c r="N5" s="110"/>
    </row>
    <row r="6" spans="1:14" ht="18" customHeight="1" x14ac:dyDescent="0.2">
      <c r="A6" s="28"/>
      <c r="B6" s="150"/>
      <c r="C6" s="35">
        <f>IF(DAY(NovDom1)=1,NovDom1+8,NovDom1+15)</f>
        <v>43416</v>
      </c>
      <c r="D6" s="35">
        <f>IF(DAY(NovDom1)=1,NovDom1+9,NovDom1+16)</f>
        <v>43417</v>
      </c>
      <c r="E6" s="35">
        <f>IF(DAY(NovDom1)=1,NovDom1+10,NovDom1+17)</f>
        <v>43418</v>
      </c>
      <c r="F6" s="35">
        <f>IF(DAY(NovDom1)=1,NovDom1+11,NovDom1+18)</f>
        <v>43419</v>
      </c>
      <c r="G6" s="35">
        <f>IF(DAY(NovDom1)=1,NovDom1+12,NovDom1+19)</f>
        <v>43420</v>
      </c>
      <c r="H6" s="35">
        <f>IF(DAY(NovDom1)=1,NovDom1+13,NovDom1+20)</f>
        <v>43421</v>
      </c>
      <c r="I6" s="35">
        <f>IF(DAY(NovDom1)=1,NovDom1+14,NovDom1+21)</f>
        <v>43422</v>
      </c>
      <c r="J6" s="33"/>
      <c r="K6" s="126"/>
      <c r="L6" s="51"/>
      <c r="M6" s="109"/>
      <c r="N6" s="110"/>
    </row>
    <row r="7" spans="1:14" ht="18" customHeight="1" x14ac:dyDescent="0.2">
      <c r="A7" s="28"/>
      <c r="B7" s="150"/>
      <c r="C7" s="35">
        <f>IF(DAY(NovDom1)=1,NovDom1+15,NovDom1+22)</f>
        <v>43423</v>
      </c>
      <c r="D7" s="35">
        <f>IF(DAY(NovDom1)=1,NovDom1+16,NovDom1+23)</f>
        <v>43424</v>
      </c>
      <c r="E7" s="35">
        <f>IF(DAY(NovDom1)=1,NovDom1+17,NovDom1+24)</f>
        <v>43425</v>
      </c>
      <c r="F7" s="35">
        <f>IF(DAY(NovDom1)=1,NovDom1+18,NovDom1+25)</f>
        <v>43426</v>
      </c>
      <c r="G7" s="35">
        <f>IF(DAY(NovDom1)=1,NovDom1+19,NovDom1+26)</f>
        <v>43427</v>
      </c>
      <c r="H7" s="35">
        <f>IF(DAY(NovDom1)=1,NovDom1+20,NovDom1+27)</f>
        <v>43428</v>
      </c>
      <c r="I7" s="35">
        <f>IF(DAY(NovDom1)=1,NovDom1+21,NovDom1+28)</f>
        <v>43429</v>
      </c>
      <c r="J7" s="33"/>
      <c r="K7" s="37"/>
      <c r="L7" s="51"/>
      <c r="M7" s="109"/>
      <c r="N7" s="110"/>
    </row>
    <row r="8" spans="1:14" ht="18.75" customHeight="1" x14ac:dyDescent="0.2">
      <c r="A8" s="28"/>
      <c r="B8" s="150"/>
      <c r="C8" s="35">
        <f>IF(DAY(NovDom1)=1,NovDom1+22,NovDom1+29)</f>
        <v>43430</v>
      </c>
      <c r="D8" s="35">
        <f>IF(DAY(NovDom1)=1,NovDom1+23,NovDom1+30)</f>
        <v>43431</v>
      </c>
      <c r="E8" s="35">
        <f>IF(DAY(NovDom1)=1,NovDom1+24,NovDom1+31)</f>
        <v>43432</v>
      </c>
      <c r="F8" s="35">
        <f>IF(DAY(NovDom1)=1,NovDom1+25,NovDom1+32)</f>
        <v>43433</v>
      </c>
      <c r="G8" s="35">
        <f>IF(DAY(NovDom1)=1,NovDom1+26,NovDom1+33)</f>
        <v>43434</v>
      </c>
      <c r="H8" s="35">
        <f>IF(DAY(NovDom1)=1,NovDom1+27,NovDom1+34)</f>
        <v>43435</v>
      </c>
      <c r="I8" s="35">
        <f>IF(DAY(NovDom1)=1,NovDom1+28,NovDom1+35)</f>
        <v>43436</v>
      </c>
      <c r="J8" s="33"/>
      <c r="K8" s="37"/>
      <c r="L8" s="51">
        <v>26</v>
      </c>
      <c r="M8" s="109" t="s">
        <v>48</v>
      </c>
      <c r="N8" s="110"/>
    </row>
    <row r="9" spans="1:14" ht="18" customHeight="1" x14ac:dyDescent="0.2">
      <c r="A9" s="28"/>
      <c r="B9" s="150"/>
      <c r="C9" s="35">
        <f>IF(DAY(NovDom1)=1,NovDom1+29,NovDom1+36)</f>
        <v>43437</v>
      </c>
      <c r="D9" s="35">
        <f>IF(DAY(NovDom1)=1,NovDom1+30,NovDom1+37)</f>
        <v>43438</v>
      </c>
      <c r="E9" s="35">
        <f>IF(DAY(NovDom1)=1,NovDom1+31,NovDom1+38)</f>
        <v>43439</v>
      </c>
      <c r="F9" s="35">
        <f>IF(DAY(NovDom1)=1,NovDom1+32,NovDom1+39)</f>
        <v>43440</v>
      </c>
      <c r="G9" s="35">
        <f>IF(DAY(NovDom1)=1,NovDom1+33,NovDom1+40)</f>
        <v>43441</v>
      </c>
      <c r="H9" s="35">
        <f>IF(DAY(NovDom1)=1,NovDom1+34,NovDom1+41)</f>
        <v>43442</v>
      </c>
      <c r="I9" s="35">
        <f>IF(DAY(NovDom1)=1,NovDom1+35,NovDom1+42)</f>
        <v>43443</v>
      </c>
      <c r="J9" s="33"/>
      <c r="K9" s="38"/>
      <c r="L9" s="52"/>
      <c r="M9" s="131"/>
      <c r="N9" s="132"/>
    </row>
    <row r="10" spans="1:14" ht="18" customHeight="1" x14ac:dyDescent="0.2">
      <c r="A10" s="28"/>
      <c r="B10" s="151"/>
      <c r="C10" s="39"/>
      <c r="D10" s="39"/>
      <c r="E10" s="39"/>
      <c r="F10" s="39"/>
      <c r="G10" s="39"/>
      <c r="H10" s="39"/>
      <c r="I10" s="39"/>
      <c r="J10" s="40"/>
      <c r="K10" s="125" t="s">
        <v>13</v>
      </c>
      <c r="L10" s="50">
        <v>6</v>
      </c>
      <c r="M10" s="127" t="s">
        <v>50</v>
      </c>
      <c r="N10" s="128"/>
    </row>
    <row r="11" spans="1:14" ht="18" customHeight="1" x14ac:dyDescent="0.2">
      <c r="A11" s="28"/>
      <c r="B11" s="143" t="s">
        <v>11</v>
      </c>
      <c r="C11" s="144"/>
      <c r="D11" s="144"/>
      <c r="E11" s="144"/>
      <c r="F11" s="144"/>
      <c r="G11" s="144"/>
      <c r="H11" s="144"/>
      <c r="I11" s="144"/>
      <c r="J11" s="145"/>
      <c r="K11" s="126"/>
      <c r="L11" s="51"/>
      <c r="M11" s="109"/>
      <c r="N11" s="110"/>
    </row>
    <row r="12" spans="1:14" ht="18" customHeight="1" x14ac:dyDescent="0.2">
      <c r="A12" s="28"/>
      <c r="B12" s="143"/>
      <c r="C12" s="144"/>
      <c r="D12" s="144"/>
      <c r="E12" s="144"/>
      <c r="F12" s="144"/>
      <c r="G12" s="144"/>
      <c r="H12" s="144"/>
      <c r="I12" s="144"/>
      <c r="J12" s="145"/>
      <c r="K12" s="126"/>
      <c r="L12" s="51"/>
      <c r="M12" s="109"/>
      <c r="N12" s="110"/>
    </row>
    <row r="13" spans="1:14" ht="18" customHeight="1" x14ac:dyDescent="0.2">
      <c r="B13" s="41" t="s">
        <v>12</v>
      </c>
      <c r="C13" s="146" t="s">
        <v>13</v>
      </c>
      <c r="D13" s="147"/>
      <c r="E13" s="146" t="s">
        <v>14</v>
      </c>
      <c r="F13" s="147"/>
      <c r="G13" s="146" t="s">
        <v>15</v>
      </c>
      <c r="H13" s="147"/>
      <c r="I13" s="146" t="s">
        <v>16</v>
      </c>
      <c r="J13" s="148"/>
      <c r="K13" s="37"/>
      <c r="L13" s="51"/>
      <c r="M13" s="109"/>
      <c r="N13" s="110"/>
    </row>
    <row r="14" spans="1:14" ht="18" customHeight="1" x14ac:dyDescent="0.2">
      <c r="B14" s="42"/>
      <c r="C14" s="123"/>
      <c r="D14" s="124"/>
      <c r="E14" s="123"/>
      <c r="F14" s="124"/>
      <c r="G14" s="123"/>
      <c r="H14" s="124"/>
      <c r="I14" s="137" t="s">
        <v>32</v>
      </c>
      <c r="J14" s="138"/>
      <c r="K14" s="37"/>
      <c r="L14" s="51">
        <v>27</v>
      </c>
      <c r="M14" s="109" t="s">
        <v>46</v>
      </c>
      <c r="N14" s="110"/>
    </row>
    <row r="15" spans="1:14" ht="18" customHeight="1" x14ac:dyDescent="0.2">
      <c r="B15" s="43"/>
      <c r="C15" s="129"/>
      <c r="D15" s="130"/>
      <c r="E15" s="129"/>
      <c r="F15" s="130"/>
      <c r="G15" s="129"/>
      <c r="H15" s="130"/>
      <c r="I15" s="137"/>
      <c r="J15" s="138"/>
      <c r="K15" s="44"/>
      <c r="L15" s="53"/>
      <c r="M15" s="131"/>
      <c r="N15" s="132"/>
    </row>
    <row r="16" spans="1:14" ht="18" customHeight="1" x14ac:dyDescent="0.2">
      <c r="B16" s="42"/>
      <c r="C16" s="123"/>
      <c r="D16" s="124"/>
      <c r="E16" s="123"/>
      <c r="F16" s="124"/>
      <c r="G16" s="123"/>
      <c r="H16" s="124"/>
      <c r="I16" s="137"/>
      <c r="J16" s="138"/>
      <c r="K16" s="133" t="s">
        <v>14</v>
      </c>
      <c r="L16" s="50"/>
      <c r="M16" s="127"/>
      <c r="N16" s="128"/>
    </row>
    <row r="17" spans="2:14" ht="18" customHeight="1" x14ac:dyDescent="0.2">
      <c r="B17" s="43"/>
      <c r="C17" s="129"/>
      <c r="D17" s="130"/>
      <c r="E17" s="129"/>
      <c r="F17" s="130"/>
      <c r="G17" s="129"/>
      <c r="H17" s="130"/>
      <c r="I17" s="137"/>
      <c r="J17" s="138"/>
      <c r="K17" s="134"/>
      <c r="L17" s="51">
        <v>8</v>
      </c>
      <c r="M17" s="109" t="s">
        <v>51</v>
      </c>
      <c r="N17" s="110"/>
    </row>
    <row r="18" spans="2:14" ht="18" customHeight="1" x14ac:dyDescent="0.2">
      <c r="B18" s="45"/>
      <c r="C18" s="141"/>
      <c r="D18" s="142"/>
      <c r="E18" s="141"/>
      <c r="F18" s="142"/>
      <c r="G18" s="141"/>
      <c r="H18" s="142"/>
      <c r="I18" s="137"/>
      <c r="J18" s="138"/>
      <c r="K18" s="134"/>
      <c r="L18" s="51">
        <v>14</v>
      </c>
      <c r="M18" s="109" t="s">
        <v>52</v>
      </c>
      <c r="N18" s="110"/>
    </row>
    <row r="19" spans="2:14" ht="18" customHeight="1" x14ac:dyDescent="0.2">
      <c r="B19" s="43"/>
      <c r="C19" s="129"/>
      <c r="D19" s="130"/>
      <c r="E19" s="129"/>
      <c r="F19" s="130"/>
      <c r="G19" s="129"/>
      <c r="H19" s="130"/>
      <c r="I19" s="137"/>
      <c r="J19" s="138"/>
      <c r="K19" s="37"/>
      <c r="L19" s="51">
        <v>21</v>
      </c>
      <c r="M19" s="109" t="s">
        <v>47</v>
      </c>
      <c r="N19" s="110"/>
    </row>
    <row r="20" spans="2:14" ht="18" customHeight="1" x14ac:dyDescent="0.2">
      <c r="B20" s="42"/>
      <c r="C20" s="123"/>
      <c r="D20" s="124"/>
      <c r="E20" s="123"/>
      <c r="F20" s="124"/>
      <c r="G20" s="123"/>
      <c r="H20" s="124"/>
      <c r="I20" s="137"/>
      <c r="J20" s="138"/>
      <c r="K20" s="37"/>
      <c r="L20" s="51">
        <v>28</v>
      </c>
      <c r="M20" s="109" t="s">
        <v>45</v>
      </c>
      <c r="N20" s="110"/>
    </row>
    <row r="21" spans="2:14" ht="18" customHeight="1" x14ac:dyDescent="0.2">
      <c r="B21" s="43"/>
      <c r="C21" s="129"/>
      <c r="D21" s="130"/>
      <c r="E21" s="129"/>
      <c r="F21" s="130"/>
      <c r="G21" s="129"/>
      <c r="H21" s="130"/>
      <c r="I21" s="137"/>
      <c r="J21" s="138"/>
      <c r="K21" s="44"/>
      <c r="L21" s="53"/>
      <c r="M21" s="131"/>
      <c r="N21" s="132"/>
    </row>
    <row r="22" spans="2:14" ht="18" customHeight="1" x14ac:dyDescent="0.2">
      <c r="B22" s="42"/>
      <c r="C22" s="123"/>
      <c r="D22" s="124"/>
      <c r="E22" s="123"/>
      <c r="F22" s="124"/>
      <c r="G22" s="123"/>
      <c r="H22" s="124"/>
      <c r="I22" s="137"/>
      <c r="J22" s="138"/>
      <c r="K22" s="133" t="s">
        <v>15</v>
      </c>
      <c r="L22" s="50">
        <v>1</v>
      </c>
      <c r="M22" s="127" t="s">
        <v>34</v>
      </c>
      <c r="N22" s="128"/>
    </row>
    <row r="23" spans="2:14" ht="18" customHeight="1" x14ac:dyDescent="0.2">
      <c r="B23" s="43"/>
      <c r="C23" s="129"/>
      <c r="D23" s="130"/>
      <c r="E23" s="129"/>
      <c r="F23" s="130"/>
      <c r="G23" s="129"/>
      <c r="H23" s="130"/>
      <c r="I23" s="137"/>
      <c r="J23" s="138"/>
      <c r="K23" s="134"/>
      <c r="L23" s="51"/>
      <c r="M23" s="109"/>
      <c r="N23" s="110"/>
    </row>
    <row r="24" spans="2:14" ht="18" customHeight="1" x14ac:dyDescent="0.2">
      <c r="B24" s="42"/>
      <c r="C24" s="123"/>
      <c r="D24" s="124"/>
      <c r="E24" s="123"/>
      <c r="F24" s="124"/>
      <c r="G24" s="123"/>
      <c r="H24" s="124"/>
      <c r="I24" s="137"/>
      <c r="J24" s="138"/>
      <c r="K24" s="134"/>
      <c r="L24" s="51">
        <v>15</v>
      </c>
      <c r="M24" s="109" t="s">
        <v>49</v>
      </c>
      <c r="N24" s="110"/>
    </row>
    <row r="25" spans="2:14" ht="18" customHeight="1" x14ac:dyDescent="0.2">
      <c r="B25" s="43"/>
      <c r="C25" s="129"/>
      <c r="D25" s="130"/>
      <c r="E25" s="129"/>
      <c r="F25" s="130"/>
      <c r="G25" s="129"/>
      <c r="H25" s="130"/>
      <c r="I25" s="137"/>
      <c r="J25" s="138"/>
      <c r="K25" s="134"/>
      <c r="L25" s="51">
        <v>22</v>
      </c>
      <c r="M25" s="109" t="s">
        <v>53</v>
      </c>
      <c r="N25" s="110"/>
    </row>
    <row r="26" spans="2:14" ht="18" customHeight="1" x14ac:dyDescent="0.2">
      <c r="B26" s="42"/>
      <c r="C26" s="123"/>
      <c r="D26" s="124"/>
      <c r="E26" s="123"/>
      <c r="F26" s="124"/>
      <c r="G26" s="123"/>
      <c r="H26" s="124"/>
      <c r="I26" s="137"/>
      <c r="J26" s="138"/>
      <c r="K26" s="37"/>
      <c r="L26" s="51"/>
      <c r="M26" s="109"/>
      <c r="N26" s="110"/>
    </row>
    <row r="27" spans="2:14" ht="18" customHeight="1" x14ac:dyDescent="0.2">
      <c r="B27" s="43"/>
      <c r="C27" s="129"/>
      <c r="D27" s="130"/>
      <c r="E27" s="129"/>
      <c r="F27" s="130"/>
      <c r="G27" s="129"/>
      <c r="H27" s="130"/>
      <c r="I27" s="139"/>
      <c r="J27" s="140"/>
      <c r="K27" s="44"/>
      <c r="L27" s="53"/>
      <c r="M27" s="131" t="s">
        <v>55</v>
      </c>
      <c r="N27" s="132"/>
    </row>
    <row r="28" spans="2:14" ht="18" customHeight="1" x14ac:dyDescent="0.2">
      <c r="B28" s="111" t="s">
        <v>29</v>
      </c>
      <c r="C28" s="112"/>
      <c r="D28" s="112"/>
      <c r="E28" s="112"/>
      <c r="F28" s="112"/>
      <c r="G28" s="112"/>
      <c r="H28" s="112"/>
      <c r="I28" s="112"/>
      <c r="J28" s="113"/>
      <c r="K28" s="125" t="s">
        <v>16</v>
      </c>
      <c r="L28" s="50"/>
      <c r="M28" s="127"/>
      <c r="N28" s="128"/>
    </row>
    <row r="29" spans="2:14" ht="18" customHeight="1" x14ac:dyDescent="0.2">
      <c r="B29" s="114"/>
      <c r="C29" s="115"/>
      <c r="D29" s="115"/>
      <c r="E29" s="115"/>
      <c r="F29" s="115"/>
      <c r="G29" s="115"/>
      <c r="H29" s="115"/>
      <c r="I29" s="115"/>
      <c r="J29" s="116"/>
      <c r="K29" s="126"/>
      <c r="L29" s="51"/>
      <c r="M29" s="109"/>
      <c r="N29" s="110"/>
    </row>
    <row r="30" spans="2:14" ht="18" customHeight="1" x14ac:dyDescent="0.2">
      <c r="B30" s="114"/>
      <c r="C30" s="115"/>
      <c r="D30" s="115"/>
      <c r="E30" s="115"/>
      <c r="F30" s="115"/>
      <c r="G30" s="115"/>
      <c r="H30" s="115"/>
      <c r="I30" s="115"/>
      <c r="J30" s="116"/>
      <c r="K30" s="126"/>
      <c r="L30" s="51">
        <v>16</v>
      </c>
      <c r="M30" s="109" t="s">
        <v>54</v>
      </c>
      <c r="N30" s="110"/>
    </row>
    <row r="31" spans="2:14" ht="18" customHeight="1" x14ac:dyDescent="0.2">
      <c r="B31" s="43"/>
      <c r="C31" s="129"/>
      <c r="D31" s="130"/>
      <c r="E31" s="129"/>
      <c r="F31" s="130"/>
      <c r="G31" s="129"/>
      <c r="H31" s="130"/>
      <c r="I31" s="129"/>
      <c r="J31" s="165"/>
      <c r="K31" s="46"/>
      <c r="L31" s="51"/>
      <c r="M31" s="109"/>
      <c r="N31" s="110"/>
    </row>
    <row r="32" spans="2:14" ht="18" customHeight="1" x14ac:dyDescent="0.2">
      <c r="B32" s="42"/>
      <c r="C32" s="123"/>
      <c r="D32" s="124"/>
      <c r="E32" s="123"/>
      <c r="F32" s="124"/>
      <c r="G32" s="123"/>
      <c r="H32" s="124"/>
      <c r="I32" s="161"/>
      <c r="J32" s="162"/>
      <c r="K32" s="46"/>
      <c r="L32" s="36"/>
      <c r="M32" s="163"/>
      <c r="N32" s="164"/>
    </row>
    <row r="33" spans="2:14" ht="18" customHeight="1" x14ac:dyDescent="0.2">
      <c r="B33" s="47"/>
      <c r="C33" s="117"/>
      <c r="D33" s="118"/>
      <c r="E33" s="117"/>
      <c r="F33" s="118"/>
      <c r="G33" s="117"/>
      <c r="H33" s="118"/>
      <c r="I33" s="119"/>
      <c r="J33" s="120"/>
      <c r="K33" s="48"/>
      <c r="L33" s="49"/>
      <c r="M33" s="121"/>
      <c r="N33" s="122"/>
    </row>
  </sheetData>
  <mergeCells count="98">
    <mergeCell ref="M9:N9"/>
    <mergeCell ref="K10:K12"/>
    <mergeCell ref="M4:N4"/>
    <mergeCell ref="M5:N5"/>
    <mergeCell ref="M6:N6"/>
    <mergeCell ref="M7:N7"/>
    <mergeCell ref="M8:N8"/>
    <mergeCell ref="C14:D14"/>
    <mergeCell ref="E14:F14"/>
    <mergeCell ref="G14:H14"/>
    <mergeCell ref="M14:N14"/>
    <mergeCell ref="M10:N10"/>
    <mergeCell ref="B11:J12"/>
    <mergeCell ref="M11:N11"/>
    <mergeCell ref="M12:N12"/>
    <mergeCell ref="C13:D13"/>
    <mergeCell ref="E13:F13"/>
    <mergeCell ref="G13:H13"/>
    <mergeCell ref="I13:J13"/>
    <mergeCell ref="M13:N13"/>
    <mergeCell ref="B2:B10"/>
    <mergeCell ref="K2:M3"/>
    <mergeCell ref="K4:K6"/>
    <mergeCell ref="C15:D15"/>
    <mergeCell ref="E15:F15"/>
    <mergeCell ref="G15:H15"/>
    <mergeCell ref="M15:N15"/>
    <mergeCell ref="I14:J27"/>
    <mergeCell ref="M17:N17"/>
    <mergeCell ref="C18:D18"/>
    <mergeCell ref="E18:F18"/>
    <mergeCell ref="G18:H18"/>
    <mergeCell ref="M18:N18"/>
    <mergeCell ref="C16:D16"/>
    <mergeCell ref="E16:F16"/>
    <mergeCell ref="G16:H16"/>
    <mergeCell ref="K16:K18"/>
    <mergeCell ref="M16:N16"/>
    <mergeCell ref="C17:D17"/>
    <mergeCell ref="E17:F17"/>
    <mergeCell ref="G17:H17"/>
    <mergeCell ref="C19:D19"/>
    <mergeCell ref="E19:F19"/>
    <mergeCell ref="G19:H19"/>
    <mergeCell ref="M19:N19"/>
    <mergeCell ref="C20:D20"/>
    <mergeCell ref="E20:F20"/>
    <mergeCell ref="G20:H20"/>
    <mergeCell ref="M20:N20"/>
    <mergeCell ref="M22:N22"/>
    <mergeCell ref="C23:D23"/>
    <mergeCell ref="E23:F23"/>
    <mergeCell ref="G23:H23"/>
    <mergeCell ref="M23:N23"/>
    <mergeCell ref="C21:D21"/>
    <mergeCell ref="E21:F21"/>
    <mergeCell ref="G21:H21"/>
    <mergeCell ref="M21:N21"/>
    <mergeCell ref="C22:D22"/>
    <mergeCell ref="E22:F22"/>
    <mergeCell ref="G22:H22"/>
    <mergeCell ref="K22:K25"/>
    <mergeCell ref="C24:D24"/>
    <mergeCell ref="E24:F24"/>
    <mergeCell ref="G24:H24"/>
    <mergeCell ref="M24:N24"/>
    <mergeCell ref="C25:D25"/>
    <mergeCell ref="E25:F25"/>
    <mergeCell ref="G25:H25"/>
    <mergeCell ref="M25:N25"/>
    <mergeCell ref="M29:N29"/>
    <mergeCell ref="M30:N30"/>
    <mergeCell ref="K28:K30"/>
    <mergeCell ref="M28:N28"/>
    <mergeCell ref="B28:J30"/>
    <mergeCell ref="C26:D26"/>
    <mergeCell ref="E26:F26"/>
    <mergeCell ref="G26:H26"/>
    <mergeCell ref="M26:N26"/>
    <mergeCell ref="C27:D27"/>
    <mergeCell ref="E27:F27"/>
    <mergeCell ref="G27:H27"/>
    <mergeCell ref="M27:N27"/>
    <mergeCell ref="C33:D33"/>
    <mergeCell ref="E33:F33"/>
    <mergeCell ref="G33:H33"/>
    <mergeCell ref="I33:J33"/>
    <mergeCell ref="M33:N33"/>
    <mergeCell ref="C31:D31"/>
    <mergeCell ref="E31:F31"/>
    <mergeCell ref="G31:H31"/>
    <mergeCell ref="I31:J31"/>
    <mergeCell ref="M31:N31"/>
    <mergeCell ref="C32:D32"/>
    <mergeCell ref="E32:F32"/>
    <mergeCell ref="G32:H32"/>
    <mergeCell ref="I32:J32"/>
    <mergeCell ref="M32:N32"/>
  </mergeCells>
  <conditionalFormatting sqref="C4:H4">
    <cfRule type="expression" dxfId="9" priority="4" stopIfTrue="1">
      <formula>DAY(C4)&gt;8</formula>
    </cfRule>
  </conditionalFormatting>
  <conditionalFormatting sqref="C8:I10">
    <cfRule type="expression" dxfId="8" priority="3" stopIfTrue="1">
      <formula>AND(DAY(C8)&gt;=1,DAY(C8)&lt;=15)</formula>
    </cfRule>
  </conditionalFormatting>
  <conditionalFormatting sqref="C4:I9">
    <cfRule type="expression" dxfId="7" priority="5">
      <formula>VLOOKUP(DAY(C4),DíasDeTareas,1,FALSE)=DAY(C4)</formula>
    </cfRule>
  </conditionalFormatting>
  <conditionalFormatting sqref="B15:H27 B31:J33 B14:I14">
    <cfRule type="expression" dxfId="6" priority="2">
      <formula>B14&lt;&gt;""</formula>
    </cfRule>
  </conditionalFormatting>
  <conditionalFormatting sqref="B28">
    <cfRule type="expression" dxfId="5" priority="1">
      <formula>B28&lt;&gt;""</formula>
    </cfRule>
  </conditionalFormatting>
  <printOptions horizontalCentered="1"/>
  <pageMargins left="0.5" right="0.5" top="0.5" bottom="0.5" header="0.3" footer="0.3"/>
  <pageSetup scale="63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N33"/>
  <sheetViews>
    <sheetView showGridLines="0" tabSelected="1" zoomScaleNormal="100" zoomScalePageLayoutView="84" workbookViewId="0">
      <selection activeCell="M23" sqref="M23:N23"/>
    </sheetView>
  </sheetViews>
  <sheetFormatPr baseColWidth="10" defaultColWidth="8.7109375" defaultRowHeight="16.5" customHeight="1" x14ac:dyDescent="0.2"/>
  <cols>
    <col min="1" max="1" width="2.28515625" style="27" customWidth="1"/>
    <col min="2" max="2" width="12.7109375" style="27" customWidth="1"/>
    <col min="3" max="10" width="6.7109375" style="27" customWidth="1"/>
    <col min="11" max="11" width="7.28515625" style="27" customWidth="1"/>
    <col min="12" max="12" width="3.85546875" style="27" customWidth="1"/>
    <col min="13" max="13" width="51.42578125" style="27" customWidth="1"/>
    <col min="14" max="14" width="10.7109375" style="27" customWidth="1"/>
    <col min="15" max="15" width="2.28515625" style="27" customWidth="1"/>
    <col min="16" max="22" width="8.85546875" style="27" customWidth="1"/>
    <col min="23" max="16384" width="8.7109375" style="27"/>
  </cols>
  <sheetData>
    <row r="1" spans="1:14" ht="11.25" customHeight="1" x14ac:dyDescent="0.2"/>
    <row r="2" spans="1:14" ht="18" customHeight="1" x14ac:dyDescent="0.2">
      <c r="A2" s="28"/>
      <c r="B2" s="149" t="s">
        <v>10</v>
      </c>
      <c r="C2" s="29"/>
      <c r="D2" s="29"/>
      <c r="E2" s="29"/>
      <c r="F2" s="29"/>
      <c r="G2" s="29"/>
      <c r="H2" s="29"/>
      <c r="I2" s="29"/>
      <c r="J2" s="30"/>
      <c r="K2" s="152" t="s">
        <v>3</v>
      </c>
      <c r="L2" s="153">
        <v>2013</v>
      </c>
      <c r="M2" s="153"/>
      <c r="N2" s="31"/>
    </row>
    <row r="3" spans="1:14" ht="21" customHeight="1" x14ac:dyDescent="0.2">
      <c r="A3" s="28"/>
      <c r="B3" s="150"/>
      <c r="C3" s="32" t="s">
        <v>5</v>
      </c>
      <c r="D3" s="32" t="s">
        <v>1</v>
      </c>
      <c r="E3" s="32" t="s">
        <v>6</v>
      </c>
      <c r="F3" s="32" t="s">
        <v>7</v>
      </c>
      <c r="G3" s="32" t="s">
        <v>8</v>
      </c>
      <c r="H3" s="32" t="s">
        <v>0</v>
      </c>
      <c r="I3" s="32" t="s">
        <v>9</v>
      </c>
      <c r="J3" s="33"/>
      <c r="K3" s="154"/>
      <c r="L3" s="155"/>
      <c r="M3" s="155"/>
      <c r="N3" s="34"/>
    </row>
    <row r="4" spans="1:14" ht="18" customHeight="1" x14ac:dyDescent="0.2">
      <c r="A4" s="28"/>
      <c r="B4" s="150"/>
      <c r="C4" s="35">
        <f>IF(DAY(DicDom1)=1,DicDom1-6,DicDom1+1)</f>
        <v>43430</v>
      </c>
      <c r="D4" s="35">
        <f>IF(DAY(DicDom1)=1,DicDom1-5,DicDom1+2)</f>
        <v>43431</v>
      </c>
      <c r="E4" s="35">
        <f>IF(DAY(DicDom1)=1,DicDom1-4,DicDom1+3)</f>
        <v>43432</v>
      </c>
      <c r="F4" s="35">
        <f>IF(DAY(DicDom1)=1,DicDom1-3,DicDom1+4)</f>
        <v>43433</v>
      </c>
      <c r="G4" s="35">
        <f>IF(DAY(DicDom1)=1,DicDom1-2,DicDom1+5)</f>
        <v>43434</v>
      </c>
      <c r="H4" s="35">
        <f>IF(DAY(DicDom1)=1,DicDom1-1,DicDom1+6)</f>
        <v>43435</v>
      </c>
      <c r="I4" s="35">
        <f>IF(DAY(DicDom1)=1,DicDom1,DicDom1+7)</f>
        <v>43436</v>
      </c>
      <c r="J4" s="33"/>
      <c r="K4" s="156" t="s">
        <v>12</v>
      </c>
      <c r="L4" s="50">
        <v>3</v>
      </c>
      <c r="M4" s="157" t="s">
        <v>61</v>
      </c>
      <c r="N4" s="158"/>
    </row>
    <row r="5" spans="1:14" ht="18" customHeight="1" x14ac:dyDescent="0.2">
      <c r="A5" s="28"/>
      <c r="B5" s="150"/>
      <c r="C5" s="35">
        <f>IF(DAY(DicDom1)=1,DicDom1+1,DicDom1+8)</f>
        <v>43437</v>
      </c>
      <c r="D5" s="35">
        <f>IF(DAY(DicDom1)=1,DicDom1+2,DicDom1+9)</f>
        <v>43438</v>
      </c>
      <c r="E5" s="35">
        <f>IF(DAY(DicDom1)=1,DicDom1+3,DicDom1+10)</f>
        <v>43439</v>
      </c>
      <c r="F5" s="35">
        <f>IF(DAY(DicDom1)=1,DicDom1+4,DicDom1+11)</f>
        <v>43440</v>
      </c>
      <c r="G5" s="35">
        <f>IF(DAY(DicDom1)=1,DicDom1+5,DicDom1+12)</f>
        <v>43441</v>
      </c>
      <c r="H5" s="35">
        <f>IF(DAY(DicDom1)=1,DicDom1+6,DicDom1+13)</f>
        <v>43442</v>
      </c>
      <c r="I5" s="35">
        <f>IF(DAY(DicDom1)=1,DicDom1+7,DicDom1+14)</f>
        <v>43443</v>
      </c>
      <c r="J5" s="33"/>
      <c r="K5" s="126"/>
      <c r="L5" s="51"/>
      <c r="M5" s="109"/>
      <c r="N5" s="110"/>
    </row>
    <row r="6" spans="1:14" ht="18" customHeight="1" x14ac:dyDescent="0.2">
      <c r="A6" s="28"/>
      <c r="B6" s="150"/>
      <c r="C6" s="35">
        <f>IF(DAY(DicDom1)=1,DicDom1+8,DicDom1+15)</f>
        <v>43444</v>
      </c>
      <c r="D6" s="35">
        <f>IF(DAY(DicDom1)=1,DicDom1+9,DicDom1+16)</f>
        <v>43445</v>
      </c>
      <c r="E6" s="35">
        <f>IF(DAY(DicDom1)=1,DicDom1+10,DicDom1+17)</f>
        <v>43446</v>
      </c>
      <c r="F6" s="35">
        <f>IF(DAY(DicDom1)=1,DicDom1+11,DicDom1+18)</f>
        <v>43447</v>
      </c>
      <c r="G6" s="35">
        <f>IF(DAY(DicDom1)=1,DicDom1+12,DicDom1+19)</f>
        <v>43448</v>
      </c>
      <c r="H6" s="35">
        <f>IF(DAY(DicDom1)=1,DicDom1+13,DicDom1+20)</f>
        <v>43449</v>
      </c>
      <c r="I6" s="35">
        <f>IF(DAY(DicDom1)=1,DicDom1+14,DicDom1+21)</f>
        <v>43450</v>
      </c>
      <c r="J6" s="33"/>
      <c r="K6" s="126"/>
      <c r="L6" s="51">
        <v>17</v>
      </c>
      <c r="M6" s="109" t="s">
        <v>57</v>
      </c>
      <c r="N6" s="110"/>
    </row>
    <row r="7" spans="1:14" ht="18" customHeight="1" x14ac:dyDescent="0.2">
      <c r="A7" s="28"/>
      <c r="B7" s="150"/>
      <c r="C7" s="35">
        <f>IF(DAY(DicDom1)=1,DicDom1+15,DicDom1+22)</f>
        <v>43451</v>
      </c>
      <c r="D7" s="35">
        <f>IF(DAY(DicDom1)=1,DicDom1+16,DicDom1+23)</f>
        <v>43452</v>
      </c>
      <c r="E7" s="35">
        <f>IF(DAY(DicDom1)=1,DicDom1+17,DicDom1+24)</f>
        <v>43453</v>
      </c>
      <c r="F7" s="35">
        <f>IF(DAY(DicDom1)=1,DicDom1+18,DicDom1+25)</f>
        <v>43454</v>
      </c>
      <c r="G7" s="35">
        <f>IF(DAY(DicDom1)=1,DicDom1+19,DicDom1+26)</f>
        <v>43455</v>
      </c>
      <c r="H7" s="35">
        <f>IF(DAY(DicDom1)=1,DicDom1+20,DicDom1+27)</f>
        <v>43456</v>
      </c>
      <c r="I7" s="35">
        <f>IF(DAY(DicDom1)=1,DicDom1+21,DicDom1+28)</f>
        <v>43457</v>
      </c>
      <c r="J7" s="33"/>
      <c r="K7" s="37"/>
      <c r="L7" s="51"/>
      <c r="M7" s="109"/>
      <c r="N7" s="110"/>
    </row>
    <row r="8" spans="1:14" ht="18.75" customHeight="1" x14ac:dyDescent="0.2">
      <c r="A8" s="28"/>
      <c r="B8" s="150"/>
      <c r="C8" s="35">
        <f>IF(DAY(DicDom1)=1,DicDom1+22,DicDom1+29)</f>
        <v>43458</v>
      </c>
      <c r="D8" s="35">
        <f>IF(DAY(DicDom1)=1,DicDom1+23,DicDom1+30)</f>
        <v>43459</v>
      </c>
      <c r="E8" s="35">
        <f>IF(DAY(DicDom1)=1,DicDom1+24,DicDom1+31)</f>
        <v>43460</v>
      </c>
      <c r="F8" s="35">
        <f>IF(DAY(DicDom1)=1,DicDom1+25,DicDom1+32)</f>
        <v>43461</v>
      </c>
      <c r="G8" s="35">
        <f>IF(DAY(DicDom1)=1,DicDom1+26,DicDom1+33)</f>
        <v>43462</v>
      </c>
      <c r="H8" s="35">
        <f>IF(DAY(DicDom1)=1,DicDom1+27,DicDom1+34)</f>
        <v>43463</v>
      </c>
      <c r="I8" s="35">
        <f>IF(DAY(DicDom1)=1,DicDom1+28,DicDom1+35)</f>
        <v>43464</v>
      </c>
      <c r="J8" s="33"/>
      <c r="K8" s="37"/>
      <c r="L8" s="51"/>
      <c r="M8" s="109"/>
      <c r="N8" s="110"/>
    </row>
    <row r="9" spans="1:14" ht="18" customHeight="1" x14ac:dyDescent="0.2">
      <c r="A9" s="28"/>
      <c r="B9" s="150"/>
      <c r="C9" s="35">
        <f>IF(DAY(DicDom1)=1,DicDom1+29,DicDom1+36)</f>
        <v>43465</v>
      </c>
      <c r="D9" s="35">
        <f>IF(DAY(DicDom1)=1,DicDom1+30,DicDom1+37)</f>
        <v>43466</v>
      </c>
      <c r="E9" s="35">
        <f>IF(DAY(DicDom1)=1,DicDom1+31,DicDom1+38)</f>
        <v>43467</v>
      </c>
      <c r="F9" s="35">
        <f>IF(DAY(DicDom1)=1,DicDom1+32,DicDom1+39)</f>
        <v>43468</v>
      </c>
      <c r="G9" s="35">
        <f>IF(DAY(DicDom1)=1,DicDom1+33,DicDom1+40)</f>
        <v>43469</v>
      </c>
      <c r="H9" s="35">
        <f>IF(DAY(DicDom1)=1,DicDom1+34,DicDom1+41)</f>
        <v>43470</v>
      </c>
      <c r="I9" s="35">
        <f>IF(DAY(DicDom1)=1,DicDom1+35,DicDom1+42)</f>
        <v>43471</v>
      </c>
      <c r="J9" s="33"/>
      <c r="K9" s="38"/>
      <c r="L9" s="52"/>
      <c r="M9" s="131"/>
      <c r="N9" s="132"/>
    </row>
    <row r="10" spans="1:14" ht="18" customHeight="1" x14ac:dyDescent="0.2">
      <c r="A10" s="28"/>
      <c r="B10" s="151"/>
      <c r="C10" s="39"/>
      <c r="D10" s="39"/>
      <c r="E10" s="39"/>
      <c r="F10" s="39"/>
      <c r="G10" s="39"/>
      <c r="H10" s="39"/>
      <c r="I10" s="39"/>
      <c r="J10" s="40"/>
      <c r="K10" s="125" t="s">
        <v>13</v>
      </c>
      <c r="L10" s="50"/>
      <c r="M10" s="127"/>
      <c r="N10" s="128"/>
    </row>
    <row r="11" spans="1:14" ht="18" customHeight="1" x14ac:dyDescent="0.2">
      <c r="A11" s="28"/>
      <c r="B11" s="143" t="s">
        <v>11</v>
      </c>
      <c r="C11" s="144"/>
      <c r="D11" s="144"/>
      <c r="E11" s="144"/>
      <c r="F11" s="144"/>
      <c r="G11" s="144"/>
      <c r="H11" s="144"/>
      <c r="I11" s="144"/>
      <c r="J11" s="145"/>
      <c r="K11" s="126"/>
      <c r="L11" s="51">
        <v>4</v>
      </c>
      <c r="M11" s="109" t="s">
        <v>57</v>
      </c>
      <c r="N11" s="110"/>
    </row>
    <row r="12" spans="1:14" ht="18" customHeight="1" x14ac:dyDescent="0.2">
      <c r="A12" s="28"/>
      <c r="B12" s="143"/>
      <c r="C12" s="144"/>
      <c r="D12" s="144"/>
      <c r="E12" s="144"/>
      <c r="F12" s="144"/>
      <c r="G12" s="144"/>
      <c r="H12" s="144"/>
      <c r="I12" s="144"/>
      <c r="J12" s="145"/>
      <c r="K12" s="126"/>
      <c r="L12" s="51"/>
      <c r="M12" s="109"/>
      <c r="N12" s="110"/>
    </row>
    <row r="13" spans="1:14" ht="18" customHeight="1" x14ac:dyDescent="0.2">
      <c r="B13" s="41" t="s">
        <v>12</v>
      </c>
      <c r="C13" s="146" t="s">
        <v>13</v>
      </c>
      <c r="D13" s="147"/>
      <c r="E13" s="146" t="s">
        <v>14</v>
      </c>
      <c r="F13" s="147"/>
      <c r="G13" s="146" t="s">
        <v>15</v>
      </c>
      <c r="H13" s="147"/>
      <c r="I13" s="146" t="s">
        <v>16</v>
      </c>
      <c r="J13" s="148"/>
      <c r="K13" s="37"/>
      <c r="L13" s="51">
        <v>18</v>
      </c>
      <c r="M13" s="109" t="s">
        <v>59</v>
      </c>
      <c r="N13" s="110"/>
    </row>
    <row r="14" spans="1:14" ht="18" customHeight="1" x14ac:dyDescent="0.2">
      <c r="B14" s="42"/>
      <c r="C14" s="123"/>
      <c r="D14" s="124"/>
      <c r="E14" s="123"/>
      <c r="F14" s="124"/>
      <c r="G14" s="123"/>
      <c r="H14" s="124"/>
      <c r="I14" s="137"/>
      <c r="J14" s="138"/>
      <c r="K14" s="37"/>
      <c r="L14" s="51"/>
      <c r="M14" s="109"/>
      <c r="N14" s="110"/>
    </row>
    <row r="15" spans="1:14" ht="18" customHeight="1" x14ac:dyDescent="0.2">
      <c r="B15" s="43"/>
      <c r="C15" s="129"/>
      <c r="D15" s="130"/>
      <c r="E15" s="129"/>
      <c r="F15" s="130"/>
      <c r="G15" s="129"/>
      <c r="H15" s="130"/>
      <c r="I15" s="137"/>
      <c r="J15" s="138"/>
      <c r="K15" s="44"/>
      <c r="L15" s="53"/>
      <c r="M15" s="131"/>
      <c r="N15" s="132"/>
    </row>
    <row r="16" spans="1:14" ht="18" customHeight="1" x14ac:dyDescent="0.2">
      <c r="B16" s="42"/>
      <c r="C16" s="123"/>
      <c r="D16" s="124"/>
      <c r="E16" s="123"/>
      <c r="F16" s="124"/>
      <c r="G16" s="123"/>
      <c r="H16" s="124"/>
      <c r="I16" s="137"/>
      <c r="J16" s="138"/>
      <c r="K16" s="133" t="s">
        <v>14</v>
      </c>
      <c r="L16" s="50"/>
      <c r="M16" s="127"/>
      <c r="N16" s="128"/>
    </row>
    <row r="17" spans="2:14" ht="18" customHeight="1" x14ac:dyDescent="0.2">
      <c r="B17" s="43"/>
      <c r="C17" s="129"/>
      <c r="D17" s="130"/>
      <c r="E17" s="129"/>
      <c r="F17" s="130"/>
      <c r="G17" s="129"/>
      <c r="H17" s="130"/>
      <c r="I17" s="137"/>
      <c r="J17" s="138"/>
      <c r="K17" s="134"/>
      <c r="L17" s="51"/>
      <c r="M17" s="109"/>
      <c r="N17" s="110"/>
    </row>
    <row r="18" spans="2:14" ht="18" customHeight="1" x14ac:dyDescent="0.2">
      <c r="B18" s="45"/>
      <c r="C18" s="141"/>
      <c r="D18" s="142"/>
      <c r="E18" s="141"/>
      <c r="F18" s="142"/>
      <c r="G18" s="141"/>
      <c r="H18" s="142"/>
      <c r="I18" s="137"/>
      <c r="J18" s="138"/>
      <c r="K18" s="134"/>
      <c r="L18" s="51">
        <v>12</v>
      </c>
      <c r="M18" s="109" t="s">
        <v>57</v>
      </c>
      <c r="N18" s="110"/>
    </row>
    <row r="19" spans="2:14" ht="18" customHeight="1" x14ac:dyDescent="0.2">
      <c r="B19" s="43"/>
      <c r="C19" s="129"/>
      <c r="D19" s="130"/>
      <c r="E19" s="129"/>
      <c r="F19" s="130"/>
      <c r="G19" s="129"/>
      <c r="H19" s="130"/>
      <c r="I19" s="137"/>
      <c r="J19" s="138"/>
      <c r="K19" s="37"/>
      <c r="L19" s="51"/>
      <c r="M19" s="109"/>
      <c r="N19" s="110"/>
    </row>
    <row r="20" spans="2:14" ht="18" customHeight="1" x14ac:dyDescent="0.2">
      <c r="B20" s="42"/>
      <c r="C20" s="123"/>
      <c r="D20" s="124"/>
      <c r="E20" s="123"/>
      <c r="F20" s="124"/>
      <c r="G20" s="123"/>
      <c r="H20" s="124"/>
      <c r="I20" s="137"/>
      <c r="J20" s="138"/>
      <c r="K20" s="37"/>
      <c r="L20" s="51"/>
      <c r="M20" s="109"/>
      <c r="N20" s="110"/>
    </row>
    <row r="21" spans="2:14" ht="18" customHeight="1" x14ac:dyDescent="0.2">
      <c r="B21" s="43"/>
      <c r="C21" s="129"/>
      <c r="D21" s="130"/>
      <c r="E21" s="129"/>
      <c r="F21" s="130"/>
      <c r="G21" s="129"/>
      <c r="H21" s="130"/>
      <c r="I21" s="137"/>
      <c r="J21" s="138"/>
      <c r="K21" s="44"/>
      <c r="L21" s="53"/>
      <c r="M21" s="131"/>
      <c r="N21" s="132"/>
    </row>
    <row r="22" spans="2:14" ht="18" customHeight="1" x14ac:dyDescent="0.2">
      <c r="B22" s="42"/>
      <c r="C22" s="123"/>
      <c r="D22" s="124"/>
      <c r="E22" s="123"/>
      <c r="F22" s="124"/>
      <c r="G22" s="123"/>
      <c r="H22" s="124"/>
      <c r="I22" s="137"/>
      <c r="J22" s="138"/>
      <c r="K22" s="133" t="s">
        <v>15</v>
      </c>
      <c r="L22" s="50"/>
      <c r="M22" s="127"/>
      <c r="N22" s="128"/>
    </row>
    <row r="23" spans="2:14" ht="18" customHeight="1" x14ac:dyDescent="0.2">
      <c r="B23" s="43"/>
      <c r="C23" s="129"/>
      <c r="D23" s="130"/>
      <c r="E23" s="129"/>
      <c r="F23" s="130"/>
      <c r="G23" s="129"/>
      <c r="H23" s="130"/>
      <c r="I23" s="137"/>
      <c r="J23" s="138"/>
      <c r="K23" s="134"/>
      <c r="L23" s="51"/>
      <c r="M23" s="109"/>
      <c r="N23" s="110"/>
    </row>
    <row r="24" spans="2:14" ht="18" customHeight="1" x14ac:dyDescent="0.2">
      <c r="B24" s="42"/>
      <c r="C24" s="123"/>
      <c r="D24" s="124"/>
      <c r="E24" s="123"/>
      <c r="F24" s="124"/>
      <c r="G24" s="123"/>
      <c r="H24" s="124"/>
      <c r="I24" s="137"/>
      <c r="J24" s="138"/>
      <c r="K24" s="134"/>
      <c r="L24" s="51">
        <v>13</v>
      </c>
      <c r="M24" s="109" t="s">
        <v>58</v>
      </c>
      <c r="N24" s="110"/>
    </row>
    <row r="25" spans="2:14" ht="18" customHeight="1" x14ac:dyDescent="0.2">
      <c r="B25" s="43"/>
      <c r="C25" s="129"/>
      <c r="D25" s="130"/>
      <c r="E25" s="129"/>
      <c r="F25" s="130"/>
      <c r="G25" s="129"/>
      <c r="H25" s="130"/>
      <c r="I25" s="137"/>
      <c r="J25" s="138"/>
      <c r="K25" s="134"/>
      <c r="L25" s="51">
        <v>20</v>
      </c>
      <c r="M25" s="57" t="s">
        <v>60</v>
      </c>
    </row>
    <row r="26" spans="2:14" ht="18" customHeight="1" x14ac:dyDescent="0.2">
      <c r="B26" s="42"/>
      <c r="C26" s="123"/>
      <c r="D26" s="124"/>
      <c r="E26" s="123"/>
      <c r="F26" s="124"/>
      <c r="G26" s="123"/>
      <c r="H26" s="124"/>
      <c r="I26" s="137"/>
      <c r="J26" s="138"/>
      <c r="K26" s="37"/>
      <c r="L26" s="51">
        <v>27</v>
      </c>
      <c r="M26" s="157" t="s">
        <v>62</v>
      </c>
      <c r="N26" s="158"/>
    </row>
    <row r="27" spans="2:14" ht="18" customHeight="1" x14ac:dyDescent="0.2">
      <c r="B27" s="43"/>
      <c r="C27" s="129"/>
      <c r="D27" s="130"/>
      <c r="E27" s="129"/>
      <c r="F27" s="130"/>
      <c r="G27" s="129"/>
      <c r="H27" s="130"/>
      <c r="I27" s="137"/>
      <c r="J27" s="138"/>
      <c r="K27" s="44"/>
      <c r="L27" s="53"/>
      <c r="M27" s="131"/>
      <c r="N27" s="132"/>
    </row>
    <row r="28" spans="2:14" ht="18" customHeight="1" x14ac:dyDescent="0.2">
      <c r="B28" s="42"/>
      <c r="C28" s="123"/>
      <c r="D28" s="124"/>
      <c r="E28" s="123"/>
      <c r="F28" s="124"/>
      <c r="G28" s="123"/>
      <c r="H28" s="124"/>
      <c r="I28" s="137"/>
      <c r="J28" s="138"/>
      <c r="K28" s="125" t="s">
        <v>16</v>
      </c>
      <c r="L28" s="50"/>
      <c r="M28" s="127"/>
      <c r="N28" s="128"/>
    </row>
    <row r="29" spans="2:14" ht="18" customHeight="1" x14ac:dyDescent="0.2">
      <c r="B29" s="43"/>
      <c r="C29" s="129"/>
      <c r="D29" s="130"/>
      <c r="E29" s="129"/>
      <c r="F29" s="130"/>
      <c r="G29" s="129"/>
      <c r="H29" s="130"/>
      <c r="I29" s="137"/>
      <c r="J29" s="138"/>
      <c r="K29" s="126"/>
      <c r="L29" s="51">
        <v>14</v>
      </c>
      <c r="M29" s="109" t="s">
        <v>56</v>
      </c>
      <c r="N29" s="110"/>
    </row>
    <row r="30" spans="2:14" ht="18" customHeight="1" x14ac:dyDescent="0.2">
      <c r="B30" s="42"/>
      <c r="C30" s="123"/>
      <c r="D30" s="124"/>
      <c r="E30" s="123"/>
      <c r="F30" s="124"/>
      <c r="G30" s="123"/>
      <c r="H30" s="124"/>
      <c r="I30" s="139"/>
      <c r="J30" s="140"/>
      <c r="K30" s="126"/>
      <c r="L30" s="51"/>
      <c r="M30" s="109"/>
      <c r="N30" s="110"/>
    </row>
    <row r="31" spans="2:14" ht="18" customHeight="1" x14ac:dyDescent="0.2">
      <c r="B31" s="111" t="s">
        <v>29</v>
      </c>
      <c r="C31" s="112"/>
      <c r="D31" s="112"/>
      <c r="E31" s="112"/>
      <c r="F31" s="112"/>
      <c r="G31" s="112"/>
      <c r="H31" s="112"/>
      <c r="I31" s="112"/>
      <c r="J31" s="113"/>
      <c r="K31" s="46"/>
      <c r="L31" s="51"/>
      <c r="M31" s="109"/>
      <c r="N31" s="110"/>
    </row>
    <row r="32" spans="2:14" ht="18" customHeight="1" x14ac:dyDescent="0.2">
      <c r="B32" s="114"/>
      <c r="C32" s="115"/>
      <c r="D32" s="115"/>
      <c r="E32" s="115"/>
      <c r="F32" s="115"/>
      <c r="G32" s="115"/>
      <c r="H32" s="115"/>
      <c r="I32" s="115"/>
      <c r="J32" s="116"/>
      <c r="K32" s="46"/>
      <c r="L32" s="51"/>
      <c r="M32" s="109"/>
      <c r="N32" s="110"/>
    </row>
    <row r="33" spans="2:14" ht="18" customHeight="1" x14ac:dyDescent="0.2">
      <c r="B33" s="114"/>
      <c r="C33" s="115"/>
      <c r="D33" s="115"/>
      <c r="E33" s="115"/>
      <c r="F33" s="115"/>
      <c r="G33" s="115"/>
      <c r="H33" s="115"/>
      <c r="I33" s="115"/>
      <c r="J33" s="116"/>
      <c r="K33" s="48"/>
      <c r="L33" s="54"/>
      <c r="M33" s="166"/>
      <c r="N33" s="167"/>
    </row>
  </sheetData>
  <mergeCells count="94">
    <mergeCell ref="M9:N9"/>
    <mergeCell ref="K10:K12"/>
    <mergeCell ref="M4:N4"/>
    <mergeCell ref="M5:N5"/>
    <mergeCell ref="M6:N6"/>
    <mergeCell ref="M7:N7"/>
    <mergeCell ref="M8:N8"/>
    <mergeCell ref="C14:D14"/>
    <mergeCell ref="E14:F14"/>
    <mergeCell ref="G14:H14"/>
    <mergeCell ref="M14:N14"/>
    <mergeCell ref="M10:N10"/>
    <mergeCell ref="B11:J12"/>
    <mergeCell ref="M11:N11"/>
    <mergeCell ref="M12:N12"/>
    <mergeCell ref="C13:D13"/>
    <mergeCell ref="E13:F13"/>
    <mergeCell ref="G13:H13"/>
    <mergeCell ref="I13:J13"/>
    <mergeCell ref="M13:N13"/>
    <mergeCell ref="B2:B10"/>
    <mergeCell ref="K2:M3"/>
    <mergeCell ref="K4:K6"/>
    <mergeCell ref="C15:D15"/>
    <mergeCell ref="E15:F15"/>
    <mergeCell ref="G15:H15"/>
    <mergeCell ref="M15:N15"/>
    <mergeCell ref="I14:J30"/>
    <mergeCell ref="M17:N17"/>
    <mergeCell ref="C18:D18"/>
    <mergeCell ref="E18:F18"/>
    <mergeCell ref="G18:H18"/>
    <mergeCell ref="M18:N18"/>
    <mergeCell ref="C16:D16"/>
    <mergeCell ref="E16:F16"/>
    <mergeCell ref="G16:H16"/>
    <mergeCell ref="K16:K18"/>
    <mergeCell ref="M16:N16"/>
    <mergeCell ref="C17:D17"/>
    <mergeCell ref="E17:F17"/>
    <mergeCell ref="G17:H17"/>
    <mergeCell ref="C19:D19"/>
    <mergeCell ref="E19:F19"/>
    <mergeCell ref="G19:H19"/>
    <mergeCell ref="C23:D23"/>
    <mergeCell ref="E23:F23"/>
    <mergeCell ref="G23:H23"/>
    <mergeCell ref="M23:N23"/>
    <mergeCell ref="M19:N19"/>
    <mergeCell ref="C20:D20"/>
    <mergeCell ref="E20:F20"/>
    <mergeCell ref="G20:H20"/>
    <mergeCell ref="M20:N20"/>
    <mergeCell ref="C21:D21"/>
    <mergeCell ref="E21:F21"/>
    <mergeCell ref="G21:H21"/>
    <mergeCell ref="M21:N21"/>
    <mergeCell ref="C22:D22"/>
    <mergeCell ref="E22:F22"/>
    <mergeCell ref="G22:H22"/>
    <mergeCell ref="K22:K25"/>
    <mergeCell ref="C24:D24"/>
    <mergeCell ref="E24:F24"/>
    <mergeCell ref="G24:H24"/>
    <mergeCell ref="C25:D25"/>
    <mergeCell ref="E25:F25"/>
    <mergeCell ref="G25:H25"/>
    <mergeCell ref="M24:N24"/>
    <mergeCell ref="M22:N22"/>
    <mergeCell ref="C26:D26"/>
    <mergeCell ref="E26:F26"/>
    <mergeCell ref="G26:H26"/>
    <mergeCell ref="M26:N26"/>
    <mergeCell ref="C27:D27"/>
    <mergeCell ref="E27:F27"/>
    <mergeCell ref="G27:H27"/>
    <mergeCell ref="M27:N27"/>
    <mergeCell ref="C28:D28"/>
    <mergeCell ref="E28:F28"/>
    <mergeCell ref="G28:H28"/>
    <mergeCell ref="K28:K30"/>
    <mergeCell ref="M28:N28"/>
    <mergeCell ref="C29:D29"/>
    <mergeCell ref="E29:F29"/>
    <mergeCell ref="G29:H29"/>
    <mergeCell ref="M33:N33"/>
    <mergeCell ref="M31:N31"/>
    <mergeCell ref="M32:N32"/>
    <mergeCell ref="B31:J33"/>
    <mergeCell ref="M29:N29"/>
    <mergeCell ref="C30:D30"/>
    <mergeCell ref="E30:F30"/>
    <mergeCell ref="G30:H30"/>
    <mergeCell ref="M30:N30"/>
  </mergeCells>
  <conditionalFormatting sqref="C4:H4">
    <cfRule type="expression" dxfId="4" priority="4" stopIfTrue="1">
      <formula>DAY(C4)&gt;8</formula>
    </cfRule>
  </conditionalFormatting>
  <conditionalFormatting sqref="C8:I10">
    <cfRule type="expression" dxfId="3" priority="3" stopIfTrue="1">
      <formula>AND(DAY(C8)&gt;=1,DAY(C8)&lt;=15)</formula>
    </cfRule>
  </conditionalFormatting>
  <conditionalFormatting sqref="C4:I9">
    <cfRule type="expression" dxfId="2" priority="5">
      <formula>VLOOKUP(DAY(C4),DíasDeTareas,1,FALSE)=DAY(C4)</formula>
    </cfRule>
  </conditionalFormatting>
  <conditionalFormatting sqref="B15:H30 B14:I14">
    <cfRule type="expression" dxfId="1" priority="2">
      <formula>B14&lt;&gt;""</formula>
    </cfRule>
  </conditionalFormatting>
  <conditionalFormatting sqref="B31">
    <cfRule type="expression" dxfId="0" priority="1">
      <formula>B31&lt;&gt;""</formula>
    </cfRule>
  </conditionalFormatting>
  <printOptions horizontalCentered="1"/>
  <pageMargins left="0.5" right="0.5" top="0.5" bottom="0.5" header="0.3" footer="0.3"/>
  <pageSetup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O33"/>
  <sheetViews>
    <sheetView showGridLines="0" topLeftCell="A8" zoomScaleNormal="100" zoomScalePageLayoutView="84" workbookViewId="0">
      <selection activeCell="B14" sqref="B14:J32"/>
    </sheetView>
  </sheetViews>
  <sheetFormatPr baseColWidth="10" defaultColWidth="8.7109375" defaultRowHeight="16.5" customHeight="1" x14ac:dyDescent="0.2"/>
  <cols>
    <col min="1" max="1" width="2.28515625" style="1" customWidth="1"/>
    <col min="2" max="2" width="12.7109375" style="1" customWidth="1"/>
    <col min="3" max="10" width="6.7109375" style="1" customWidth="1"/>
    <col min="11" max="11" width="7.28515625" style="1" customWidth="1"/>
    <col min="12" max="12" width="3.85546875" customWidth="1"/>
    <col min="13" max="13" width="51.42578125" style="1" customWidth="1"/>
    <col min="14" max="14" width="10.7109375" style="1" customWidth="1"/>
    <col min="15" max="15" width="2.28515625" customWidth="1"/>
    <col min="16" max="22" width="8.85546875" customWidth="1"/>
    <col min="42" max="16384" width="8.7109375" style="1"/>
  </cols>
  <sheetData>
    <row r="1" spans="1:14" ht="11.25" customHeight="1" x14ac:dyDescent="0.2"/>
    <row r="2" spans="1:14" ht="18" customHeight="1" x14ac:dyDescent="0.2">
      <c r="A2" s="4"/>
      <c r="B2" s="58" t="s">
        <v>26</v>
      </c>
      <c r="C2" s="21"/>
      <c r="D2" s="21"/>
      <c r="E2" s="21"/>
      <c r="F2" s="21"/>
      <c r="G2" s="21"/>
      <c r="H2" s="21"/>
      <c r="I2" s="21"/>
      <c r="J2" s="22"/>
      <c r="K2" s="98" t="s">
        <v>3</v>
      </c>
      <c r="L2" s="99">
        <v>2013</v>
      </c>
      <c r="M2" s="99"/>
      <c r="N2" s="25"/>
    </row>
    <row r="3" spans="1:14" ht="21" customHeight="1" x14ac:dyDescent="0.2">
      <c r="A3" s="4"/>
      <c r="B3" s="59"/>
      <c r="C3" s="2" t="s">
        <v>5</v>
      </c>
      <c r="D3" s="2" t="s">
        <v>1</v>
      </c>
      <c r="E3" s="2" t="s">
        <v>6</v>
      </c>
      <c r="F3" s="2" t="s">
        <v>7</v>
      </c>
      <c r="G3" s="2" t="s">
        <v>8</v>
      </c>
      <c r="H3" s="2" t="s">
        <v>0</v>
      </c>
      <c r="I3" s="2" t="s">
        <v>9</v>
      </c>
      <c r="J3" s="5"/>
      <c r="K3" s="100"/>
      <c r="L3" s="101"/>
      <c r="M3" s="101"/>
      <c r="N3" s="26"/>
    </row>
    <row r="4" spans="1:14" ht="18" customHeight="1" x14ac:dyDescent="0.2">
      <c r="A4" s="4"/>
      <c r="B4" s="59"/>
      <c r="C4" s="10">
        <f>IF(DAY(FebDom1)=1,FebDom1-6,FebDom1+1)</f>
        <v>43129</v>
      </c>
      <c r="D4" s="10">
        <f>IF(DAY(FebDom1)=1,FebDom1-5,FebDom1+2)</f>
        <v>43130</v>
      </c>
      <c r="E4" s="10">
        <f>IF(DAY(FebDom1)=1,FebDom1-4,FebDom1+3)</f>
        <v>43131</v>
      </c>
      <c r="F4" s="10">
        <f>IF(DAY(FebDom1)=1,FebDom1-3,FebDom1+4)</f>
        <v>43132</v>
      </c>
      <c r="G4" s="10">
        <f>IF(DAY(FebDom1)=1,FebDom1-2,FebDom1+5)</f>
        <v>43133</v>
      </c>
      <c r="H4" s="10">
        <f>IF(DAY(FebDom1)=1,FebDom1-1,FebDom1+6)</f>
        <v>43134</v>
      </c>
      <c r="I4" s="10">
        <f>IF(DAY(FebDom1)=1,FebDom1,FebDom1+7)</f>
        <v>43135</v>
      </c>
      <c r="J4" s="5"/>
      <c r="K4" s="102" t="s">
        <v>12</v>
      </c>
      <c r="L4" s="16"/>
      <c r="M4" s="103"/>
      <c r="N4" s="104"/>
    </row>
    <row r="5" spans="1:14" ht="18" customHeight="1" x14ac:dyDescent="0.2">
      <c r="A5" s="4"/>
      <c r="B5" s="59"/>
      <c r="C5" s="10">
        <f>IF(DAY(FebDom1)=1,FebDom1+1,FebDom1+8)</f>
        <v>43136</v>
      </c>
      <c r="D5" s="10">
        <f>IF(DAY(FebDom1)=1,FebDom1+2,FebDom1+9)</f>
        <v>43137</v>
      </c>
      <c r="E5" s="10">
        <f>IF(DAY(FebDom1)=1,FebDom1+3,FebDom1+10)</f>
        <v>43138</v>
      </c>
      <c r="F5" s="10">
        <f>IF(DAY(FebDom1)=1,FebDom1+4,FebDom1+11)</f>
        <v>43139</v>
      </c>
      <c r="G5" s="10">
        <f>IF(DAY(FebDom1)=1,FebDom1+5,FebDom1+12)</f>
        <v>43140</v>
      </c>
      <c r="H5" s="10">
        <f>IF(DAY(FebDom1)=1,FebDom1+6,FebDom1+13)</f>
        <v>43141</v>
      </c>
      <c r="I5" s="10">
        <f>IF(DAY(FebDom1)=1,FebDom1+7,FebDom1+14)</f>
        <v>43142</v>
      </c>
      <c r="J5" s="5"/>
      <c r="K5" s="94"/>
      <c r="L5" s="17"/>
      <c r="M5" s="64"/>
      <c r="N5" s="65"/>
    </row>
    <row r="6" spans="1:14" ht="18" customHeight="1" x14ac:dyDescent="0.2">
      <c r="A6" s="4"/>
      <c r="B6" s="59"/>
      <c r="C6" s="10">
        <f>IF(DAY(FebDom1)=1,FebDom1+8,FebDom1+15)</f>
        <v>43143</v>
      </c>
      <c r="D6" s="10">
        <f>IF(DAY(FebDom1)=1,FebDom1+9,FebDom1+16)</f>
        <v>43144</v>
      </c>
      <c r="E6" s="10">
        <f>IF(DAY(FebDom1)=1,FebDom1+10,FebDom1+17)</f>
        <v>43145</v>
      </c>
      <c r="F6" s="10">
        <f>IF(DAY(FebDom1)=1,FebDom1+11,FebDom1+18)</f>
        <v>43146</v>
      </c>
      <c r="G6" s="10">
        <f>IF(DAY(FebDom1)=1,FebDom1+12,FebDom1+19)</f>
        <v>43147</v>
      </c>
      <c r="H6" s="10">
        <f>IF(DAY(FebDom1)=1,FebDom1+13,FebDom1+20)</f>
        <v>43148</v>
      </c>
      <c r="I6" s="10">
        <f>IF(DAY(FebDom1)=1,FebDom1+14,FebDom1+21)</f>
        <v>43149</v>
      </c>
      <c r="J6" s="5"/>
      <c r="K6" s="94"/>
      <c r="L6" s="17"/>
      <c r="M6" s="64"/>
      <c r="N6" s="65"/>
    </row>
    <row r="7" spans="1:14" ht="18" customHeight="1" x14ac:dyDescent="0.2">
      <c r="A7" s="4"/>
      <c r="B7" s="59"/>
      <c r="C7" s="10">
        <f>IF(DAY(FebDom1)=1,FebDom1+15,FebDom1+22)</f>
        <v>43150</v>
      </c>
      <c r="D7" s="10">
        <f>IF(DAY(FebDom1)=1,FebDom1+16,FebDom1+23)</f>
        <v>43151</v>
      </c>
      <c r="E7" s="10">
        <f>IF(DAY(FebDom1)=1,FebDom1+17,FebDom1+24)</f>
        <v>43152</v>
      </c>
      <c r="F7" s="10">
        <f>IF(DAY(FebDom1)=1,FebDom1+18,FebDom1+25)</f>
        <v>43153</v>
      </c>
      <c r="G7" s="10">
        <f>IF(DAY(FebDom1)=1,FebDom1+19,FebDom1+26)</f>
        <v>43154</v>
      </c>
      <c r="H7" s="10">
        <f>IF(DAY(FebDom1)=1,FebDom1+20,FebDom1+27)</f>
        <v>43155</v>
      </c>
      <c r="I7" s="10">
        <f>IF(DAY(FebDom1)=1,FebDom1+21,FebDom1+28)</f>
        <v>43156</v>
      </c>
      <c r="J7" s="5"/>
      <c r="K7" s="11"/>
      <c r="L7" s="17"/>
      <c r="M7" s="64"/>
      <c r="N7" s="65"/>
    </row>
    <row r="8" spans="1:14" ht="18.75" customHeight="1" x14ac:dyDescent="0.2">
      <c r="A8" s="4"/>
      <c r="B8" s="59"/>
      <c r="C8" s="10">
        <f>IF(DAY(FebDom1)=1,FebDom1+22,FebDom1+29)</f>
        <v>43157</v>
      </c>
      <c r="D8" s="10">
        <f>IF(DAY(FebDom1)=1,FebDom1+23,FebDom1+30)</f>
        <v>43158</v>
      </c>
      <c r="E8" s="10">
        <f>IF(DAY(FebDom1)=1,FebDom1+24,FebDom1+31)</f>
        <v>43159</v>
      </c>
      <c r="F8" s="10">
        <f>IF(DAY(FebDom1)=1,FebDom1+25,FebDom1+32)</f>
        <v>43160</v>
      </c>
      <c r="G8" s="10">
        <f>IF(DAY(FebDom1)=1,FebDom1+26,FebDom1+33)</f>
        <v>43161</v>
      </c>
      <c r="H8" s="10">
        <f>IF(DAY(FebDom1)=1,FebDom1+27,FebDom1+34)</f>
        <v>43162</v>
      </c>
      <c r="I8" s="10">
        <f>IF(DAY(FebDom1)=1,FebDom1+28,FebDom1+35)</f>
        <v>43163</v>
      </c>
      <c r="J8" s="5"/>
      <c r="K8" s="11"/>
      <c r="L8" s="17"/>
      <c r="M8" s="64"/>
      <c r="N8" s="65"/>
    </row>
    <row r="9" spans="1:14" ht="18" customHeight="1" x14ac:dyDescent="0.2">
      <c r="A9" s="4"/>
      <c r="B9" s="59"/>
      <c r="C9" s="10">
        <f>IF(DAY(FebDom1)=1,FebDom1+29,FebDom1+36)</f>
        <v>43164</v>
      </c>
      <c r="D9" s="10">
        <f>IF(DAY(FebDom1)=1,FebDom1+30,FebDom1+37)</f>
        <v>43165</v>
      </c>
      <c r="E9" s="10">
        <f>IF(DAY(FebDom1)=1,FebDom1+31,FebDom1+38)</f>
        <v>43166</v>
      </c>
      <c r="F9" s="10">
        <f>IF(DAY(FebDom1)=1,FebDom1+32,FebDom1+39)</f>
        <v>43167</v>
      </c>
      <c r="G9" s="10">
        <f>IF(DAY(FebDom1)=1,FebDom1+33,FebDom1+40)</f>
        <v>43168</v>
      </c>
      <c r="H9" s="10">
        <f>IF(DAY(FebDom1)=1,FebDom1+34,FebDom1+41)</f>
        <v>43169</v>
      </c>
      <c r="I9" s="10">
        <f>IF(DAY(FebDom1)=1,FebDom1+35,FebDom1+42)</f>
        <v>43170</v>
      </c>
      <c r="J9" s="5"/>
      <c r="K9" s="12"/>
      <c r="L9" s="18"/>
      <c r="M9" s="68"/>
      <c r="N9" s="69"/>
    </row>
    <row r="10" spans="1:14" ht="18" customHeight="1" x14ac:dyDescent="0.2">
      <c r="A10" s="4"/>
      <c r="B10" s="60"/>
      <c r="C10" s="23"/>
      <c r="D10" s="23"/>
      <c r="E10" s="23"/>
      <c r="F10" s="23"/>
      <c r="G10" s="23"/>
      <c r="H10" s="23"/>
      <c r="I10" s="23"/>
      <c r="J10" s="24"/>
      <c r="K10" s="93" t="s">
        <v>13</v>
      </c>
      <c r="L10" s="16"/>
      <c r="M10" s="70"/>
      <c r="N10" s="71"/>
    </row>
    <row r="11" spans="1:14" ht="18" customHeight="1" x14ac:dyDescent="0.2">
      <c r="A11" s="4"/>
      <c r="B11" s="61" t="s">
        <v>11</v>
      </c>
      <c r="C11" s="62"/>
      <c r="D11" s="62"/>
      <c r="E11" s="62"/>
      <c r="F11" s="62"/>
      <c r="G11" s="62"/>
      <c r="H11" s="62"/>
      <c r="I11" s="62"/>
      <c r="J11" s="63"/>
      <c r="K11" s="94"/>
      <c r="L11" s="17"/>
      <c r="M11" s="64"/>
      <c r="N11" s="65"/>
    </row>
    <row r="12" spans="1:14" ht="18" customHeight="1" x14ac:dyDescent="0.2">
      <c r="A12" s="4"/>
      <c r="B12" s="61"/>
      <c r="C12" s="62"/>
      <c r="D12" s="62"/>
      <c r="E12" s="62"/>
      <c r="F12" s="62"/>
      <c r="G12" s="62"/>
      <c r="H12" s="62"/>
      <c r="I12" s="62"/>
      <c r="J12" s="63"/>
      <c r="K12" s="94"/>
      <c r="L12" s="17"/>
      <c r="M12" s="64"/>
      <c r="N12" s="65"/>
    </row>
    <row r="13" spans="1:14" ht="18" customHeight="1" x14ac:dyDescent="0.2">
      <c r="B13" s="3" t="s">
        <v>12</v>
      </c>
      <c r="C13" s="95" t="s">
        <v>13</v>
      </c>
      <c r="D13" s="97"/>
      <c r="E13" s="95" t="s">
        <v>14</v>
      </c>
      <c r="F13" s="97"/>
      <c r="G13" s="95" t="s">
        <v>15</v>
      </c>
      <c r="H13" s="97"/>
      <c r="I13" s="95" t="s">
        <v>16</v>
      </c>
      <c r="J13" s="96"/>
      <c r="K13" s="11"/>
      <c r="L13" s="17"/>
      <c r="M13" s="64"/>
      <c r="N13" s="65"/>
    </row>
    <row r="14" spans="1:14" ht="18" customHeight="1" x14ac:dyDescent="0.2">
      <c r="B14" s="8"/>
      <c r="C14" s="72"/>
      <c r="D14" s="73"/>
      <c r="E14" s="72"/>
      <c r="F14" s="73"/>
      <c r="G14" s="72"/>
      <c r="H14" s="73"/>
      <c r="I14" s="72"/>
      <c r="J14" s="87"/>
      <c r="K14" s="11"/>
      <c r="L14" s="17"/>
      <c r="M14" s="64"/>
      <c r="N14" s="65"/>
    </row>
    <row r="15" spans="1:14" ht="18" customHeight="1" x14ac:dyDescent="0.2">
      <c r="B15" s="6"/>
      <c r="C15" s="74"/>
      <c r="D15" s="75"/>
      <c r="E15" s="74"/>
      <c r="F15" s="75"/>
      <c r="G15" s="74"/>
      <c r="H15" s="75"/>
      <c r="I15" s="85"/>
      <c r="J15" s="86"/>
      <c r="K15" s="13"/>
      <c r="L15" s="19"/>
      <c r="M15" s="68"/>
      <c r="N15" s="69"/>
    </row>
    <row r="16" spans="1:14" ht="18" customHeight="1" x14ac:dyDescent="0.2">
      <c r="B16" s="8"/>
      <c r="C16" s="72"/>
      <c r="D16" s="73"/>
      <c r="E16" s="72"/>
      <c r="F16" s="73"/>
      <c r="G16" s="72"/>
      <c r="H16" s="73"/>
      <c r="I16" s="81"/>
      <c r="J16" s="82"/>
      <c r="K16" s="107" t="s">
        <v>14</v>
      </c>
      <c r="L16" s="16"/>
      <c r="M16" s="70"/>
      <c r="N16" s="71"/>
    </row>
    <row r="17" spans="2:14" ht="18" customHeight="1" x14ac:dyDescent="0.2">
      <c r="B17" s="6"/>
      <c r="C17" s="74"/>
      <c r="D17" s="75"/>
      <c r="E17" s="74"/>
      <c r="F17" s="75"/>
      <c r="G17" s="74"/>
      <c r="H17" s="75"/>
      <c r="I17" s="85"/>
      <c r="J17" s="86"/>
      <c r="K17" s="108"/>
      <c r="L17" s="17"/>
      <c r="M17" s="64"/>
      <c r="N17" s="65"/>
    </row>
    <row r="18" spans="2:14" ht="18" customHeight="1" x14ac:dyDescent="0.2">
      <c r="B18" s="9"/>
      <c r="C18" s="90"/>
      <c r="D18" s="91"/>
      <c r="E18" s="90"/>
      <c r="F18" s="91"/>
      <c r="G18" s="90"/>
      <c r="H18" s="91"/>
      <c r="I18" s="90"/>
      <c r="J18" s="92"/>
      <c r="K18" s="108"/>
      <c r="L18" s="17"/>
      <c r="M18" s="64"/>
      <c r="N18" s="65"/>
    </row>
    <row r="19" spans="2:14" ht="18" customHeight="1" x14ac:dyDescent="0.2">
      <c r="B19" s="6"/>
      <c r="C19" s="74"/>
      <c r="D19" s="75"/>
      <c r="E19" s="74"/>
      <c r="F19" s="75"/>
      <c r="G19" s="74"/>
      <c r="H19" s="75"/>
      <c r="I19" s="85"/>
      <c r="J19" s="86"/>
      <c r="K19" s="11"/>
      <c r="L19" s="17"/>
      <c r="M19" s="64"/>
      <c r="N19" s="65"/>
    </row>
    <row r="20" spans="2:14" ht="18" customHeight="1" x14ac:dyDescent="0.2">
      <c r="B20" s="8"/>
      <c r="C20" s="72"/>
      <c r="D20" s="73"/>
      <c r="E20" s="72"/>
      <c r="F20" s="73"/>
      <c r="G20" s="72"/>
      <c r="H20" s="73"/>
      <c r="I20" s="72"/>
      <c r="J20" s="87"/>
      <c r="K20" s="11"/>
      <c r="L20" s="17"/>
      <c r="M20" s="64"/>
      <c r="N20" s="65"/>
    </row>
    <row r="21" spans="2:14" ht="18" customHeight="1" x14ac:dyDescent="0.2">
      <c r="B21" s="6"/>
      <c r="C21" s="74"/>
      <c r="D21" s="75"/>
      <c r="E21" s="74"/>
      <c r="F21" s="75"/>
      <c r="G21" s="74"/>
      <c r="H21" s="75"/>
      <c r="I21" s="88"/>
      <c r="J21" s="89"/>
      <c r="K21" s="13"/>
      <c r="L21" s="19"/>
      <c r="M21" s="68"/>
      <c r="N21" s="69"/>
    </row>
    <row r="22" spans="2:14" ht="18" customHeight="1" x14ac:dyDescent="0.2">
      <c r="B22" s="8"/>
      <c r="C22" s="72"/>
      <c r="D22" s="73"/>
      <c r="E22" s="72"/>
      <c r="F22" s="73"/>
      <c r="G22" s="72"/>
      <c r="H22" s="73"/>
      <c r="I22" s="72"/>
      <c r="J22" s="87"/>
      <c r="K22" s="107" t="s">
        <v>15</v>
      </c>
      <c r="L22" s="16"/>
      <c r="M22" s="70"/>
      <c r="N22" s="71"/>
    </row>
    <row r="23" spans="2:14" ht="18" customHeight="1" x14ac:dyDescent="0.2">
      <c r="B23" s="6"/>
      <c r="C23" s="74"/>
      <c r="D23" s="75"/>
      <c r="E23" s="74"/>
      <c r="F23" s="75"/>
      <c r="G23" s="74"/>
      <c r="H23" s="75"/>
      <c r="I23" s="85"/>
      <c r="J23" s="86"/>
      <c r="K23" s="108"/>
      <c r="L23" s="17"/>
      <c r="M23" s="64"/>
      <c r="N23" s="65"/>
    </row>
    <row r="24" spans="2:14" ht="18" customHeight="1" x14ac:dyDescent="0.2">
      <c r="B24" s="8"/>
      <c r="C24" s="72"/>
      <c r="D24" s="73"/>
      <c r="E24" s="72"/>
      <c r="F24" s="73"/>
      <c r="G24" s="72"/>
      <c r="H24" s="73"/>
      <c r="I24" s="72"/>
      <c r="J24" s="87"/>
      <c r="K24" s="108"/>
      <c r="L24" s="17"/>
      <c r="M24" s="64"/>
      <c r="N24" s="65"/>
    </row>
    <row r="25" spans="2:14" ht="18" customHeight="1" x14ac:dyDescent="0.2">
      <c r="B25" s="6"/>
      <c r="C25" s="74"/>
      <c r="D25" s="75"/>
      <c r="E25" s="74"/>
      <c r="F25" s="75"/>
      <c r="G25" s="74"/>
      <c r="H25" s="75"/>
      <c r="I25" s="85"/>
      <c r="J25" s="86"/>
      <c r="K25" s="108"/>
      <c r="L25" s="17"/>
      <c r="M25" s="64"/>
      <c r="N25" s="65"/>
    </row>
    <row r="26" spans="2:14" ht="18" customHeight="1" x14ac:dyDescent="0.2">
      <c r="B26" s="8"/>
      <c r="C26" s="72"/>
      <c r="D26" s="73"/>
      <c r="E26" s="72"/>
      <c r="F26" s="73"/>
      <c r="G26" s="72"/>
      <c r="H26" s="73"/>
      <c r="I26" s="72"/>
      <c r="J26" s="87"/>
      <c r="K26" s="11"/>
      <c r="L26" s="17"/>
      <c r="M26" s="64"/>
      <c r="N26" s="65"/>
    </row>
    <row r="27" spans="2:14" ht="18" customHeight="1" x14ac:dyDescent="0.2">
      <c r="B27" s="6"/>
      <c r="C27" s="74"/>
      <c r="D27" s="75"/>
      <c r="E27" s="74"/>
      <c r="F27" s="75"/>
      <c r="G27" s="74"/>
      <c r="H27" s="75"/>
      <c r="I27" s="85"/>
      <c r="J27" s="86"/>
      <c r="K27" s="13"/>
      <c r="L27" s="19"/>
      <c r="M27" s="68"/>
      <c r="N27" s="69"/>
    </row>
    <row r="28" spans="2:14" ht="18" customHeight="1" x14ac:dyDescent="0.2">
      <c r="B28" s="8"/>
      <c r="C28" s="72"/>
      <c r="D28" s="73"/>
      <c r="E28" s="72"/>
      <c r="F28" s="73"/>
      <c r="G28" s="72"/>
      <c r="H28" s="73"/>
      <c r="I28" s="72"/>
      <c r="J28" s="87"/>
      <c r="K28" s="93" t="s">
        <v>16</v>
      </c>
      <c r="L28" s="16"/>
      <c r="M28" s="70"/>
      <c r="N28" s="71"/>
    </row>
    <row r="29" spans="2:14" ht="18" customHeight="1" x14ac:dyDescent="0.2">
      <c r="B29" s="6"/>
      <c r="C29" s="74"/>
      <c r="D29" s="75"/>
      <c r="E29" s="74"/>
      <c r="F29" s="75"/>
      <c r="G29" s="74"/>
      <c r="H29" s="75"/>
      <c r="I29" s="74"/>
      <c r="J29" s="80"/>
      <c r="K29" s="94"/>
      <c r="L29" s="17"/>
      <c r="M29" s="64"/>
      <c r="N29" s="65"/>
    </row>
    <row r="30" spans="2:14" ht="18" customHeight="1" x14ac:dyDescent="0.2">
      <c r="B30" s="8"/>
      <c r="C30" s="72"/>
      <c r="D30" s="73"/>
      <c r="E30" s="72"/>
      <c r="F30" s="73"/>
      <c r="G30" s="72"/>
      <c r="H30" s="73"/>
      <c r="I30" s="78"/>
      <c r="J30" s="79"/>
      <c r="K30" s="94"/>
      <c r="L30" s="17"/>
      <c r="M30" s="64"/>
      <c r="N30" s="65"/>
    </row>
    <row r="31" spans="2:14" ht="18" customHeight="1" x14ac:dyDescent="0.2">
      <c r="B31" s="6"/>
      <c r="C31" s="74"/>
      <c r="D31" s="75"/>
      <c r="E31" s="74"/>
      <c r="F31" s="75"/>
      <c r="G31" s="74"/>
      <c r="H31" s="75"/>
      <c r="I31" s="74"/>
      <c r="J31" s="80"/>
      <c r="K31" s="14"/>
      <c r="L31" s="17"/>
      <c r="M31" s="64"/>
      <c r="N31" s="65"/>
    </row>
    <row r="32" spans="2:14" ht="18" customHeight="1" x14ac:dyDescent="0.2">
      <c r="B32" s="8"/>
      <c r="C32" s="72"/>
      <c r="D32" s="73"/>
      <c r="E32" s="72"/>
      <c r="F32" s="73"/>
      <c r="G32" s="72"/>
      <c r="H32" s="73"/>
      <c r="I32" s="81"/>
      <c r="J32" s="82"/>
      <c r="K32" s="14"/>
      <c r="L32" s="17"/>
      <c r="M32" s="64"/>
      <c r="N32" s="65"/>
    </row>
    <row r="33" spans="2:14" ht="18" customHeight="1" x14ac:dyDescent="0.2">
      <c r="B33" s="7"/>
      <c r="C33" s="76"/>
      <c r="D33" s="77"/>
      <c r="E33" s="76"/>
      <c r="F33" s="77"/>
      <c r="G33" s="76"/>
      <c r="H33" s="77"/>
      <c r="I33" s="83"/>
      <c r="J33" s="84"/>
      <c r="K33" s="15"/>
      <c r="L33" s="20"/>
      <c r="M33" s="66"/>
      <c r="N33" s="67"/>
    </row>
  </sheetData>
  <mergeCells count="122">
    <mergeCell ref="M10:N10"/>
    <mergeCell ref="B11:J12"/>
    <mergeCell ref="M11:N11"/>
    <mergeCell ref="M12:N12"/>
    <mergeCell ref="C13:D13"/>
    <mergeCell ref="E13:F13"/>
    <mergeCell ref="G13:H13"/>
    <mergeCell ref="I13:J13"/>
    <mergeCell ref="M13:N13"/>
    <mergeCell ref="B2:B10"/>
    <mergeCell ref="K2:M3"/>
    <mergeCell ref="K4:K6"/>
    <mergeCell ref="M4:N4"/>
    <mergeCell ref="M5:N5"/>
    <mergeCell ref="M6:N6"/>
    <mergeCell ref="M7:N7"/>
    <mergeCell ref="M8:N8"/>
    <mergeCell ref="M9:N9"/>
    <mergeCell ref="K10:K12"/>
    <mergeCell ref="C14:D14"/>
    <mergeCell ref="E14:F14"/>
    <mergeCell ref="G14:H14"/>
    <mergeCell ref="I14:J14"/>
    <mergeCell ref="M14:N14"/>
    <mergeCell ref="C15:D15"/>
    <mergeCell ref="E15:F15"/>
    <mergeCell ref="G15:H15"/>
    <mergeCell ref="I15:J15"/>
    <mergeCell ref="M15:N15"/>
    <mergeCell ref="M17:N17"/>
    <mergeCell ref="C18:D18"/>
    <mergeCell ref="E18:F18"/>
    <mergeCell ref="G18:H18"/>
    <mergeCell ref="I18:J18"/>
    <mergeCell ref="M18:N18"/>
    <mergeCell ref="C16:D16"/>
    <mergeCell ref="E16:F16"/>
    <mergeCell ref="G16:H16"/>
    <mergeCell ref="I16:J16"/>
    <mergeCell ref="K16:K18"/>
    <mergeCell ref="M16:N16"/>
    <mergeCell ref="C17:D17"/>
    <mergeCell ref="E17:F17"/>
    <mergeCell ref="G17:H17"/>
    <mergeCell ref="I17:J17"/>
    <mergeCell ref="C19:D19"/>
    <mergeCell ref="E19:F19"/>
    <mergeCell ref="G19:H19"/>
    <mergeCell ref="I19:J19"/>
    <mergeCell ref="M19:N19"/>
    <mergeCell ref="C20:D20"/>
    <mergeCell ref="E20:F20"/>
    <mergeCell ref="G20:H20"/>
    <mergeCell ref="I20:J20"/>
    <mergeCell ref="M20:N20"/>
    <mergeCell ref="M22:N22"/>
    <mergeCell ref="C23:D23"/>
    <mergeCell ref="E23:F23"/>
    <mergeCell ref="G23:H23"/>
    <mergeCell ref="I23:J23"/>
    <mergeCell ref="M23:N23"/>
    <mergeCell ref="C21:D21"/>
    <mergeCell ref="E21:F21"/>
    <mergeCell ref="G21:H21"/>
    <mergeCell ref="I21:J21"/>
    <mergeCell ref="M21:N21"/>
    <mergeCell ref="C22:D22"/>
    <mergeCell ref="E22:F22"/>
    <mergeCell ref="G22:H22"/>
    <mergeCell ref="I22:J22"/>
    <mergeCell ref="K22:K25"/>
    <mergeCell ref="C24:D24"/>
    <mergeCell ref="E24:F24"/>
    <mergeCell ref="G24:H24"/>
    <mergeCell ref="I24:J24"/>
    <mergeCell ref="M24:N24"/>
    <mergeCell ref="C25:D25"/>
    <mergeCell ref="E25:F25"/>
    <mergeCell ref="G25:H25"/>
    <mergeCell ref="I25:J25"/>
    <mergeCell ref="M25:N25"/>
    <mergeCell ref="C26:D26"/>
    <mergeCell ref="E26:F26"/>
    <mergeCell ref="G26:H26"/>
    <mergeCell ref="I26:J26"/>
    <mergeCell ref="M26:N26"/>
    <mergeCell ref="C27:D27"/>
    <mergeCell ref="E27:F27"/>
    <mergeCell ref="G27:H27"/>
    <mergeCell ref="I27:J27"/>
    <mergeCell ref="M27:N27"/>
    <mergeCell ref="M29:N29"/>
    <mergeCell ref="C30:D30"/>
    <mergeCell ref="E30:F30"/>
    <mergeCell ref="G30:H30"/>
    <mergeCell ref="I30:J30"/>
    <mergeCell ref="M30:N30"/>
    <mergeCell ref="C28:D28"/>
    <mergeCell ref="E28:F28"/>
    <mergeCell ref="G28:H28"/>
    <mergeCell ref="I28:J28"/>
    <mergeCell ref="K28:K30"/>
    <mergeCell ref="M28:N28"/>
    <mergeCell ref="C29:D29"/>
    <mergeCell ref="E29:F29"/>
    <mergeCell ref="G29:H29"/>
    <mergeCell ref="I29:J29"/>
    <mergeCell ref="C33:D33"/>
    <mergeCell ref="E33:F33"/>
    <mergeCell ref="G33:H33"/>
    <mergeCell ref="I33:J33"/>
    <mergeCell ref="M33:N33"/>
    <mergeCell ref="C31:D31"/>
    <mergeCell ref="E31:F31"/>
    <mergeCell ref="G31:H31"/>
    <mergeCell ref="I31:J31"/>
    <mergeCell ref="M31:N31"/>
    <mergeCell ref="C32:D32"/>
    <mergeCell ref="E32:F32"/>
    <mergeCell ref="G32:H32"/>
    <mergeCell ref="I32:J32"/>
    <mergeCell ref="M32:N32"/>
  </mergeCells>
  <conditionalFormatting sqref="C4:H4">
    <cfRule type="expression" dxfId="45" priority="3" stopIfTrue="1">
      <formula>DAY(C4)&gt;8</formula>
    </cfRule>
  </conditionalFormatting>
  <conditionalFormatting sqref="C8:I10">
    <cfRule type="expression" dxfId="44" priority="2" stopIfTrue="1">
      <formula>AND(DAY(C8)&gt;=1,DAY(C8)&lt;=15)</formula>
    </cfRule>
  </conditionalFormatting>
  <conditionalFormatting sqref="C4:I9">
    <cfRule type="expression" dxfId="43" priority="4">
      <formula>VLOOKUP(DAY(C4),DíasDeTareas,1,FALSE)=DAY(C4)</formula>
    </cfRule>
  </conditionalFormatting>
  <conditionalFormatting sqref="B14:J33">
    <cfRule type="expression" dxfId="42" priority="1">
      <formula>B14&lt;&gt;""</formula>
    </cfRule>
  </conditionalFormatting>
  <printOptions horizontalCentered="1"/>
  <pageMargins left="0.5" right="0.5" top="0.5" bottom="0.5" header="0.3" footer="0.3"/>
  <pageSetup scale="6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O33"/>
  <sheetViews>
    <sheetView showGridLines="0" topLeftCell="A16" zoomScaleNormal="100" zoomScalePageLayoutView="84" workbookViewId="0">
      <selection activeCell="B26" sqref="B26:J33"/>
    </sheetView>
  </sheetViews>
  <sheetFormatPr baseColWidth="10" defaultColWidth="8.7109375" defaultRowHeight="16.5" customHeight="1" x14ac:dyDescent="0.2"/>
  <cols>
    <col min="1" max="1" width="2.28515625" style="1" customWidth="1"/>
    <col min="2" max="2" width="12.7109375" style="1" customWidth="1"/>
    <col min="3" max="10" width="6.7109375" style="1" customWidth="1"/>
    <col min="11" max="11" width="7.28515625" style="1" customWidth="1"/>
    <col min="12" max="12" width="3.85546875" customWidth="1"/>
    <col min="13" max="13" width="51.42578125" style="1" customWidth="1"/>
    <col min="14" max="14" width="10.7109375" style="1" customWidth="1"/>
    <col min="15" max="15" width="2.28515625" customWidth="1"/>
    <col min="16" max="22" width="8.85546875" customWidth="1"/>
    <col min="42" max="16384" width="8.7109375" style="1"/>
  </cols>
  <sheetData>
    <row r="1" spans="1:14" ht="11.25" customHeight="1" x14ac:dyDescent="0.2"/>
    <row r="2" spans="1:14" ht="18" customHeight="1" x14ac:dyDescent="0.2">
      <c r="A2" s="4"/>
      <c r="B2" s="58" t="s">
        <v>25</v>
      </c>
      <c r="C2" s="21"/>
      <c r="D2" s="21"/>
      <c r="E2" s="21"/>
      <c r="F2" s="21"/>
      <c r="G2" s="21"/>
      <c r="H2" s="21"/>
      <c r="I2" s="21"/>
      <c r="J2" s="22"/>
      <c r="K2" s="98" t="s">
        <v>3</v>
      </c>
      <c r="L2" s="99">
        <v>2013</v>
      </c>
      <c r="M2" s="99"/>
      <c r="N2" s="25"/>
    </row>
    <row r="3" spans="1:14" ht="21" customHeight="1" x14ac:dyDescent="0.2">
      <c r="A3" s="4"/>
      <c r="B3" s="59"/>
      <c r="C3" s="2" t="s">
        <v>5</v>
      </c>
      <c r="D3" s="2" t="s">
        <v>1</v>
      </c>
      <c r="E3" s="2" t="s">
        <v>6</v>
      </c>
      <c r="F3" s="2" t="s">
        <v>7</v>
      </c>
      <c r="G3" s="2" t="s">
        <v>8</v>
      </c>
      <c r="H3" s="2" t="s">
        <v>0</v>
      </c>
      <c r="I3" s="2" t="s">
        <v>9</v>
      </c>
      <c r="J3" s="5"/>
      <c r="K3" s="100"/>
      <c r="L3" s="101"/>
      <c r="M3" s="101"/>
      <c r="N3" s="26"/>
    </row>
    <row r="4" spans="1:14" ht="18" customHeight="1" x14ac:dyDescent="0.2">
      <c r="A4" s="4"/>
      <c r="B4" s="59"/>
      <c r="C4" s="10">
        <f>IF(DAY(MarDom1)=1,MarDom1-6,MarDom1+1)</f>
        <v>43157</v>
      </c>
      <c r="D4" s="10">
        <f>IF(DAY(MarDom1)=1,MarDom1-5,MarDom1+2)</f>
        <v>43158</v>
      </c>
      <c r="E4" s="10">
        <f>IF(DAY(MarDom1)=1,MarDom1-4,MarDom1+3)</f>
        <v>43159</v>
      </c>
      <c r="F4" s="10">
        <f>IF(DAY(MarDom1)=1,MarDom1-3,MarDom1+4)</f>
        <v>43160</v>
      </c>
      <c r="G4" s="10">
        <f>IF(DAY(MarDom1)=1,MarDom1-2,MarDom1+5)</f>
        <v>43161</v>
      </c>
      <c r="H4" s="10">
        <f>IF(DAY(MarDom1)=1,MarDom1-1,MarDom1+6)</f>
        <v>43162</v>
      </c>
      <c r="I4" s="10">
        <f>IF(DAY(MarDom1)=1,MarDom1,MarDom1+7)</f>
        <v>43163</v>
      </c>
      <c r="J4" s="5"/>
      <c r="K4" s="102" t="s">
        <v>12</v>
      </c>
      <c r="L4" s="16"/>
      <c r="M4" s="103"/>
      <c r="N4" s="104"/>
    </row>
    <row r="5" spans="1:14" ht="18" customHeight="1" x14ac:dyDescent="0.2">
      <c r="A5" s="4"/>
      <c r="B5" s="59"/>
      <c r="C5" s="10">
        <f>IF(DAY(MarDom1)=1,MarDom1+1,MarDom1+8)</f>
        <v>43164</v>
      </c>
      <c r="D5" s="10">
        <f>IF(DAY(MarDom1)=1,MarDom1+2,MarDom1+9)</f>
        <v>43165</v>
      </c>
      <c r="E5" s="10">
        <f>IF(DAY(MarDom1)=1,MarDom1+3,MarDom1+10)</f>
        <v>43166</v>
      </c>
      <c r="F5" s="10">
        <f>IF(DAY(MarDom1)=1,MarDom1+4,MarDom1+11)</f>
        <v>43167</v>
      </c>
      <c r="G5" s="10">
        <f>IF(DAY(MarDom1)=1,MarDom1+5,MarDom1+12)</f>
        <v>43168</v>
      </c>
      <c r="H5" s="10">
        <f>IF(DAY(MarDom1)=1,MarDom1+6,MarDom1+13)</f>
        <v>43169</v>
      </c>
      <c r="I5" s="10">
        <f>IF(DAY(MarDom1)=1,MarDom1+7,MarDom1+14)</f>
        <v>43170</v>
      </c>
      <c r="J5" s="5"/>
      <c r="K5" s="94"/>
      <c r="L5" s="17"/>
      <c r="M5" s="64"/>
      <c r="N5" s="65"/>
    </row>
    <row r="6" spans="1:14" ht="18" customHeight="1" x14ac:dyDescent="0.2">
      <c r="A6" s="4"/>
      <c r="B6" s="59"/>
      <c r="C6" s="10">
        <f>IF(DAY(MarDom1)=1,MarDom1+8,MarDom1+15)</f>
        <v>43171</v>
      </c>
      <c r="D6" s="10">
        <f>IF(DAY(MarDom1)=1,MarDom1+9,MarDom1+16)</f>
        <v>43172</v>
      </c>
      <c r="E6" s="10">
        <f>IF(DAY(MarDom1)=1,MarDom1+10,MarDom1+17)</f>
        <v>43173</v>
      </c>
      <c r="F6" s="10">
        <f>IF(DAY(MarDom1)=1,MarDom1+11,MarDom1+18)</f>
        <v>43174</v>
      </c>
      <c r="G6" s="10">
        <f>IF(DAY(MarDom1)=1,MarDom1+12,MarDom1+19)</f>
        <v>43175</v>
      </c>
      <c r="H6" s="10">
        <f>IF(DAY(MarDom1)=1,MarDom1+13,MarDom1+20)</f>
        <v>43176</v>
      </c>
      <c r="I6" s="10">
        <f>IF(DAY(MarDom1)=1,MarDom1+14,MarDom1+21)</f>
        <v>43177</v>
      </c>
      <c r="J6" s="5"/>
      <c r="K6" s="94"/>
      <c r="L6" s="17"/>
      <c r="M6" s="64"/>
      <c r="N6" s="65"/>
    </row>
    <row r="7" spans="1:14" ht="18" customHeight="1" x14ac:dyDescent="0.2">
      <c r="A7" s="4"/>
      <c r="B7" s="59"/>
      <c r="C7" s="10">
        <f>IF(DAY(MarDom1)=1,MarDom1+15,MarDom1+22)</f>
        <v>43178</v>
      </c>
      <c r="D7" s="10">
        <f>IF(DAY(MarDom1)=1,MarDom1+16,MarDom1+23)</f>
        <v>43179</v>
      </c>
      <c r="E7" s="10">
        <f>IF(DAY(MarDom1)=1,MarDom1+17,MarDom1+24)</f>
        <v>43180</v>
      </c>
      <c r="F7" s="10">
        <f>IF(DAY(MarDom1)=1,MarDom1+18,MarDom1+25)</f>
        <v>43181</v>
      </c>
      <c r="G7" s="10">
        <f>IF(DAY(MarDom1)=1,MarDom1+19,MarDom1+26)</f>
        <v>43182</v>
      </c>
      <c r="H7" s="10">
        <f>IF(DAY(MarDom1)=1,MarDom1+20,MarDom1+27)</f>
        <v>43183</v>
      </c>
      <c r="I7" s="10">
        <f>IF(DAY(MarDom1)=1,MarDom1+21,MarDom1+28)</f>
        <v>43184</v>
      </c>
      <c r="J7" s="5"/>
      <c r="K7" s="11"/>
      <c r="L7" s="17"/>
      <c r="M7" s="64"/>
      <c r="N7" s="65"/>
    </row>
    <row r="8" spans="1:14" ht="18.75" customHeight="1" x14ac:dyDescent="0.2">
      <c r="A8" s="4"/>
      <c r="B8" s="59"/>
      <c r="C8" s="10">
        <f>IF(DAY(MarDom1)=1,MarDom1+22,MarDom1+29)</f>
        <v>43185</v>
      </c>
      <c r="D8" s="10">
        <f>IF(DAY(MarDom1)=1,MarDom1+23,MarDom1+30)</f>
        <v>43186</v>
      </c>
      <c r="E8" s="10">
        <f>IF(DAY(MarDom1)=1,MarDom1+24,MarDom1+31)</f>
        <v>43187</v>
      </c>
      <c r="F8" s="10">
        <f>IF(DAY(MarDom1)=1,MarDom1+25,MarDom1+32)</f>
        <v>43188</v>
      </c>
      <c r="G8" s="10">
        <f>IF(DAY(MarDom1)=1,MarDom1+26,MarDom1+33)</f>
        <v>43189</v>
      </c>
      <c r="H8" s="10">
        <f>IF(DAY(MarDom1)=1,MarDom1+27,MarDom1+34)</f>
        <v>43190</v>
      </c>
      <c r="I8" s="10">
        <f>IF(DAY(MarDom1)=1,MarDom1+28,MarDom1+35)</f>
        <v>43191</v>
      </c>
      <c r="J8" s="5"/>
      <c r="K8" s="11"/>
      <c r="L8" s="17"/>
      <c r="M8" s="64"/>
      <c r="N8" s="65"/>
    </row>
    <row r="9" spans="1:14" ht="18" customHeight="1" x14ac:dyDescent="0.2">
      <c r="A9" s="4"/>
      <c r="B9" s="59"/>
      <c r="C9" s="10">
        <f>IF(DAY(MarDom1)=1,MarDom1+29,MarDom1+36)</f>
        <v>43192</v>
      </c>
      <c r="D9" s="10">
        <f>IF(DAY(MarDom1)=1,MarDom1+30,MarDom1+37)</f>
        <v>43193</v>
      </c>
      <c r="E9" s="10">
        <f>IF(DAY(MarDom1)=1,MarDom1+31,MarDom1+38)</f>
        <v>43194</v>
      </c>
      <c r="F9" s="10">
        <f>IF(DAY(MarDom1)=1,MarDom1+32,MarDom1+39)</f>
        <v>43195</v>
      </c>
      <c r="G9" s="10">
        <f>IF(DAY(MarDom1)=1,MarDom1+33,MarDom1+40)</f>
        <v>43196</v>
      </c>
      <c r="H9" s="10">
        <f>IF(DAY(MarDom1)=1,MarDom1+34,MarDom1+41)</f>
        <v>43197</v>
      </c>
      <c r="I9" s="10">
        <f>IF(DAY(MarDom1)=1,MarDom1+35,MarDom1+42)</f>
        <v>43198</v>
      </c>
      <c r="J9" s="5"/>
      <c r="K9" s="12"/>
      <c r="L9" s="18"/>
      <c r="M9" s="68"/>
      <c r="N9" s="69"/>
    </row>
    <row r="10" spans="1:14" ht="18" customHeight="1" x14ac:dyDescent="0.2">
      <c r="A10" s="4"/>
      <c r="B10" s="60"/>
      <c r="C10" s="23"/>
      <c r="D10" s="23"/>
      <c r="E10" s="23"/>
      <c r="F10" s="23"/>
      <c r="G10" s="23"/>
      <c r="H10" s="23"/>
      <c r="I10" s="23"/>
      <c r="J10" s="24"/>
      <c r="K10" s="93" t="s">
        <v>13</v>
      </c>
      <c r="L10" s="16"/>
      <c r="M10" s="70"/>
      <c r="N10" s="71"/>
    </row>
    <row r="11" spans="1:14" ht="18" customHeight="1" x14ac:dyDescent="0.2">
      <c r="A11" s="4"/>
      <c r="B11" s="61" t="s">
        <v>11</v>
      </c>
      <c r="C11" s="62"/>
      <c r="D11" s="62"/>
      <c r="E11" s="62"/>
      <c r="F11" s="62"/>
      <c r="G11" s="62"/>
      <c r="H11" s="62"/>
      <c r="I11" s="62"/>
      <c r="J11" s="63"/>
      <c r="K11" s="94"/>
      <c r="L11" s="17"/>
      <c r="M11" s="64"/>
      <c r="N11" s="65"/>
    </row>
    <row r="12" spans="1:14" ht="18" customHeight="1" x14ac:dyDescent="0.2">
      <c r="A12" s="4"/>
      <c r="B12" s="61"/>
      <c r="C12" s="62"/>
      <c r="D12" s="62"/>
      <c r="E12" s="62"/>
      <c r="F12" s="62"/>
      <c r="G12" s="62"/>
      <c r="H12" s="62"/>
      <c r="I12" s="62"/>
      <c r="J12" s="63"/>
      <c r="K12" s="94"/>
      <c r="L12" s="17"/>
      <c r="M12" s="64"/>
      <c r="N12" s="65"/>
    </row>
    <row r="13" spans="1:14" ht="18" customHeight="1" x14ac:dyDescent="0.2">
      <c r="B13" s="3" t="s">
        <v>12</v>
      </c>
      <c r="C13" s="95" t="s">
        <v>13</v>
      </c>
      <c r="D13" s="97"/>
      <c r="E13" s="95" t="s">
        <v>14</v>
      </c>
      <c r="F13" s="97"/>
      <c r="G13" s="95" t="s">
        <v>15</v>
      </c>
      <c r="H13" s="97"/>
      <c r="I13" s="95" t="s">
        <v>16</v>
      </c>
      <c r="J13" s="96"/>
      <c r="K13" s="11"/>
      <c r="L13" s="17"/>
      <c r="M13" s="64"/>
      <c r="N13" s="65"/>
    </row>
    <row r="14" spans="1:14" ht="18" customHeight="1" x14ac:dyDescent="0.2">
      <c r="B14" s="8"/>
      <c r="C14" s="72"/>
      <c r="D14" s="73"/>
      <c r="E14" s="72"/>
      <c r="F14" s="73"/>
      <c r="G14" s="72"/>
      <c r="H14" s="73"/>
      <c r="I14" s="72"/>
      <c r="J14" s="87"/>
      <c r="K14" s="11"/>
      <c r="L14" s="17"/>
      <c r="M14" s="64"/>
      <c r="N14" s="65"/>
    </row>
    <row r="15" spans="1:14" ht="18" customHeight="1" x14ac:dyDescent="0.2">
      <c r="B15" s="6"/>
      <c r="C15" s="74"/>
      <c r="D15" s="75"/>
      <c r="E15" s="74"/>
      <c r="F15" s="75"/>
      <c r="G15" s="74"/>
      <c r="H15" s="75"/>
      <c r="I15" s="85"/>
      <c r="J15" s="86"/>
      <c r="K15" s="13"/>
      <c r="L15" s="19"/>
      <c r="M15" s="68"/>
      <c r="N15" s="69"/>
    </row>
    <row r="16" spans="1:14" ht="18" customHeight="1" x14ac:dyDescent="0.2">
      <c r="B16" s="8"/>
      <c r="C16" s="72"/>
      <c r="D16" s="73"/>
      <c r="E16" s="72"/>
      <c r="F16" s="73"/>
      <c r="G16" s="72"/>
      <c r="H16" s="73"/>
      <c r="I16" s="81"/>
      <c r="J16" s="82"/>
      <c r="K16" s="107" t="s">
        <v>14</v>
      </c>
      <c r="L16" s="16"/>
      <c r="M16" s="70"/>
      <c r="N16" s="71"/>
    </row>
    <row r="17" spans="2:14" ht="18" customHeight="1" x14ac:dyDescent="0.2">
      <c r="B17" s="6"/>
      <c r="C17" s="74"/>
      <c r="D17" s="75"/>
      <c r="E17" s="74"/>
      <c r="F17" s="75"/>
      <c r="G17" s="74"/>
      <c r="H17" s="75"/>
      <c r="I17" s="85"/>
      <c r="J17" s="86"/>
      <c r="K17" s="108"/>
      <c r="L17" s="17"/>
      <c r="M17" s="64"/>
      <c r="N17" s="65"/>
    </row>
    <row r="18" spans="2:14" ht="18" customHeight="1" x14ac:dyDescent="0.2">
      <c r="B18" s="9"/>
      <c r="C18" s="90"/>
      <c r="D18" s="91"/>
      <c r="E18" s="90"/>
      <c r="F18" s="91"/>
      <c r="G18" s="90"/>
      <c r="H18" s="91"/>
      <c r="I18" s="90"/>
      <c r="J18" s="92"/>
      <c r="K18" s="108"/>
      <c r="L18" s="17"/>
      <c r="M18" s="64"/>
      <c r="N18" s="65"/>
    </row>
    <row r="19" spans="2:14" ht="18" customHeight="1" x14ac:dyDescent="0.2">
      <c r="B19" s="6"/>
      <c r="C19" s="74"/>
      <c r="D19" s="75"/>
      <c r="E19" s="74"/>
      <c r="F19" s="75"/>
      <c r="G19" s="74"/>
      <c r="H19" s="75"/>
      <c r="I19" s="85"/>
      <c r="J19" s="86"/>
      <c r="K19" s="11"/>
      <c r="L19" s="17"/>
      <c r="M19" s="64"/>
      <c r="N19" s="65"/>
    </row>
    <row r="20" spans="2:14" ht="18" customHeight="1" x14ac:dyDescent="0.2">
      <c r="B20" s="8"/>
      <c r="C20" s="72"/>
      <c r="D20" s="73"/>
      <c r="E20" s="72"/>
      <c r="F20" s="73"/>
      <c r="G20" s="72"/>
      <c r="H20" s="73"/>
      <c r="I20" s="72"/>
      <c r="J20" s="87"/>
      <c r="K20" s="11"/>
      <c r="L20" s="17"/>
      <c r="M20" s="64"/>
      <c r="N20" s="65"/>
    </row>
    <row r="21" spans="2:14" ht="18" customHeight="1" x14ac:dyDescent="0.2">
      <c r="B21" s="6"/>
      <c r="C21" s="74"/>
      <c r="D21" s="75"/>
      <c r="E21" s="74"/>
      <c r="F21" s="75"/>
      <c r="G21" s="74"/>
      <c r="H21" s="75"/>
      <c r="I21" s="88"/>
      <c r="J21" s="89"/>
      <c r="K21" s="13"/>
      <c r="L21" s="19"/>
      <c r="M21" s="68"/>
      <c r="N21" s="69"/>
    </row>
    <row r="22" spans="2:14" ht="18" customHeight="1" x14ac:dyDescent="0.2">
      <c r="B22" s="8"/>
      <c r="C22" s="72"/>
      <c r="D22" s="73"/>
      <c r="E22" s="72"/>
      <c r="F22" s="73"/>
      <c r="G22" s="72"/>
      <c r="H22" s="73"/>
      <c r="I22" s="72"/>
      <c r="J22" s="87"/>
      <c r="K22" s="107" t="s">
        <v>15</v>
      </c>
      <c r="L22" s="16"/>
      <c r="M22" s="70"/>
      <c r="N22" s="71"/>
    </row>
    <row r="23" spans="2:14" ht="18" customHeight="1" x14ac:dyDescent="0.2">
      <c r="B23" s="6"/>
      <c r="C23" s="74"/>
      <c r="D23" s="75"/>
      <c r="E23" s="74"/>
      <c r="F23" s="75"/>
      <c r="G23" s="74"/>
      <c r="H23" s="75"/>
      <c r="I23" s="85"/>
      <c r="J23" s="86"/>
      <c r="K23" s="108"/>
      <c r="L23" s="17"/>
      <c r="M23" s="64"/>
      <c r="N23" s="65"/>
    </row>
    <row r="24" spans="2:14" ht="18" customHeight="1" x14ac:dyDescent="0.2">
      <c r="B24" s="8"/>
      <c r="C24" s="72"/>
      <c r="D24" s="73"/>
      <c r="E24" s="72"/>
      <c r="F24" s="73"/>
      <c r="G24" s="72"/>
      <c r="H24" s="73"/>
      <c r="I24" s="72"/>
      <c r="J24" s="87"/>
      <c r="K24" s="108"/>
      <c r="L24" s="17"/>
      <c r="M24" s="64"/>
      <c r="N24" s="65"/>
    </row>
    <row r="25" spans="2:14" ht="18" customHeight="1" x14ac:dyDescent="0.2">
      <c r="B25" s="6"/>
      <c r="C25" s="74"/>
      <c r="D25" s="75"/>
      <c r="E25" s="74"/>
      <c r="F25" s="75"/>
      <c r="G25" s="74"/>
      <c r="H25" s="75"/>
      <c r="I25" s="85"/>
      <c r="J25" s="86"/>
      <c r="K25" s="108"/>
      <c r="L25" s="17"/>
      <c r="M25" s="64"/>
      <c r="N25" s="65"/>
    </row>
    <row r="26" spans="2:14" ht="18" customHeight="1" x14ac:dyDescent="0.2">
      <c r="B26" s="8"/>
      <c r="C26" s="72"/>
      <c r="D26" s="73"/>
      <c r="E26" s="72"/>
      <c r="F26" s="73"/>
      <c r="G26" s="72"/>
      <c r="H26" s="73"/>
      <c r="I26" s="72"/>
      <c r="J26" s="87"/>
      <c r="K26" s="11"/>
      <c r="L26" s="17"/>
      <c r="M26" s="64"/>
      <c r="N26" s="65"/>
    </row>
    <row r="27" spans="2:14" ht="18" customHeight="1" x14ac:dyDescent="0.2">
      <c r="B27" s="6"/>
      <c r="C27" s="74"/>
      <c r="D27" s="75"/>
      <c r="E27" s="74"/>
      <c r="F27" s="75"/>
      <c r="G27" s="74"/>
      <c r="H27" s="75"/>
      <c r="I27" s="85"/>
      <c r="J27" s="86"/>
      <c r="K27" s="13"/>
      <c r="L27" s="19"/>
      <c r="M27" s="68"/>
      <c r="N27" s="69"/>
    </row>
    <row r="28" spans="2:14" ht="18" customHeight="1" x14ac:dyDescent="0.2">
      <c r="B28" s="8"/>
      <c r="C28" s="72"/>
      <c r="D28" s="73"/>
      <c r="E28" s="72"/>
      <c r="F28" s="73"/>
      <c r="G28" s="72"/>
      <c r="H28" s="73"/>
      <c r="I28" s="72"/>
      <c r="J28" s="87"/>
      <c r="K28" s="93" t="s">
        <v>16</v>
      </c>
      <c r="L28" s="16"/>
      <c r="M28" s="70"/>
      <c r="N28" s="71"/>
    </row>
    <row r="29" spans="2:14" ht="18" customHeight="1" x14ac:dyDescent="0.2">
      <c r="B29" s="6"/>
      <c r="C29" s="74"/>
      <c r="D29" s="75"/>
      <c r="E29" s="74"/>
      <c r="F29" s="75"/>
      <c r="G29" s="74"/>
      <c r="H29" s="75"/>
      <c r="I29" s="74"/>
      <c r="J29" s="80"/>
      <c r="K29" s="94"/>
      <c r="L29" s="17"/>
      <c r="M29" s="64"/>
      <c r="N29" s="65"/>
    </row>
    <row r="30" spans="2:14" ht="18" customHeight="1" x14ac:dyDescent="0.2">
      <c r="B30" s="8"/>
      <c r="C30" s="72"/>
      <c r="D30" s="73"/>
      <c r="E30" s="72"/>
      <c r="F30" s="73"/>
      <c r="G30" s="72"/>
      <c r="H30" s="73"/>
      <c r="I30" s="78"/>
      <c r="J30" s="79"/>
      <c r="K30" s="94"/>
      <c r="L30" s="17"/>
      <c r="M30" s="64"/>
      <c r="N30" s="65"/>
    </row>
    <row r="31" spans="2:14" ht="18" customHeight="1" x14ac:dyDescent="0.2">
      <c r="B31" s="6"/>
      <c r="C31" s="74"/>
      <c r="D31" s="75"/>
      <c r="E31" s="74"/>
      <c r="F31" s="75"/>
      <c r="G31" s="74"/>
      <c r="H31" s="75"/>
      <c r="I31" s="74"/>
      <c r="J31" s="80"/>
      <c r="K31" s="14"/>
      <c r="L31" s="17"/>
      <c r="M31" s="64"/>
      <c r="N31" s="65"/>
    </row>
    <row r="32" spans="2:14" ht="18" customHeight="1" x14ac:dyDescent="0.2">
      <c r="B32" s="8"/>
      <c r="C32" s="72"/>
      <c r="D32" s="73"/>
      <c r="E32" s="72"/>
      <c r="F32" s="73"/>
      <c r="G32" s="72"/>
      <c r="H32" s="73"/>
      <c r="I32" s="81"/>
      <c r="J32" s="82"/>
      <c r="K32" s="14"/>
      <c r="L32" s="17"/>
      <c r="M32" s="64"/>
      <c r="N32" s="65"/>
    </row>
    <row r="33" spans="2:14" ht="18" customHeight="1" x14ac:dyDescent="0.2">
      <c r="B33" s="7"/>
      <c r="C33" s="76"/>
      <c r="D33" s="77"/>
      <c r="E33" s="76"/>
      <c r="F33" s="77"/>
      <c r="G33" s="76"/>
      <c r="H33" s="77"/>
      <c r="I33" s="83"/>
      <c r="J33" s="84"/>
      <c r="K33" s="15"/>
      <c r="L33" s="20"/>
      <c r="M33" s="66"/>
      <c r="N33" s="67"/>
    </row>
  </sheetData>
  <mergeCells count="122">
    <mergeCell ref="M10:N10"/>
    <mergeCell ref="B11:J12"/>
    <mergeCell ref="M11:N11"/>
    <mergeCell ref="M12:N12"/>
    <mergeCell ref="C13:D13"/>
    <mergeCell ref="E13:F13"/>
    <mergeCell ref="G13:H13"/>
    <mergeCell ref="I13:J13"/>
    <mergeCell ref="M13:N13"/>
    <mergeCell ref="B2:B10"/>
    <mergeCell ref="K2:M3"/>
    <mergeCell ref="K4:K6"/>
    <mergeCell ref="M4:N4"/>
    <mergeCell ref="M5:N5"/>
    <mergeCell ref="M6:N6"/>
    <mergeCell ref="M7:N7"/>
    <mergeCell ref="M8:N8"/>
    <mergeCell ref="M9:N9"/>
    <mergeCell ref="K10:K12"/>
    <mergeCell ref="C14:D14"/>
    <mergeCell ref="E14:F14"/>
    <mergeCell ref="G14:H14"/>
    <mergeCell ref="I14:J14"/>
    <mergeCell ref="M14:N14"/>
    <mergeCell ref="C15:D15"/>
    <mergeCell ref="E15:F15"/>
    <mergeCell ref="G15:H15"/>
    <mergeCell ref="I15:J15"/>
    <mergeCell ref="M15:N15"/>
    <mergeCell ref="M17:N17"/>
    <mergeCell ref="C18:D18"/>
    <mergeCell ref="E18:F18"/>
    <mergeCell ref="G18:H18"/>
    <mergeCell ref="I18:J18"/>
    <mergeCell ref="M18:N18"/>
    <mergeCell ref="C16:D16"/>
    <mergeCell ref="E16:F16"/>
    <mergeCell ref="G16:H16"/>
    <mergeCell ref="I16:J16"/>
    <mergeCell ref="K16:K18"/>
    <mergeCell ref="M16:N16"/>
    <mergeCell ref="C17:D17"/>
    <mergeCell ref="E17:F17"/>
    <mergeCell ref="G17:H17"/>
    <mergeCell ref="I17:J17"/>
    <mergeCell ref="C19:D19"/>
    <mergeCell ref="E19:F19"/>
    <mergeCell ref="G19:H19"/>
    <mergeCell ref="I19:J19"/>
    <mergeCell ref="M19:N19"/>
    <mergeCell ref="C20:D20"/>
    <mergeCell ref="E20:F20"/>
    <mergeCell ref="G20:H20"/>
    <mergeCell ref="I20:J20"/>
    <mergeCell ref="M20:N20"/>
    <mergeCell ref="M22:N22"/>
    <mergeCell ref="C23:D23"/>
    <mergeCell ref="E23:F23"/>
    <mergeCell ref="G23:H23"/>
    <mergeCell ref="I23:J23"/>
    <mergeCell ref="M23:N23"/>
    <mergeCell ref="C21:D21"/>
    <mergeCell ref="E21:F21"/>
    <mergeCell ref="G21:H21"/>
    <mergeCell ref="I21:J21"/>
    <mergeCell ref="M21:N21"/>
    <mergeCell ref="C22:D22"/>
    <mergeCell ref="E22:F22"/>
    <mergeCell ref="G22:H22"/>
    <mergeCell ref="I22:J22"/>
    <mergeCell ref="K22:K25"/>
    <mergeCell ref="C24:D24"/>
    <mergeCell ref="E24:F24"/>
    <mergeCell ref="G24:H24"/>
    <mergeCell ref="I24:J24"/>
    <mergeCell ref="M24:N24"/>
    <mergeCell ref="C25:D25"/>
    <mergeCell ref="E25:F25"/>
    <mergeCell ref="G25:H25"/>
    <mergeCell ref="I25:J25"/>
    <mergeCell ref="M25:N25"/>
    <mergeCell ref="C26:D26"/>
    <mergeCell ref="E26:F26"/>
    <mergeCell ref="G26:H26"/>
    <mergeCell ref="I26:J26"/>
    <mergeCell ref="M26:N26"/>
    <mergeCell ref="C27:D27"/>
    <mergeCell ref="E27:F27"/>
    <mergeCell ref="G27:H27"/>
    <mergeCell ref="I27:J27"/>
    <mergeCell ref="M27:N27"/>
    <mergeCell ref="M29:N29"/>
    <mergeCell ref="C30:D30"/>
    <mergeCell ref="E30:F30"/>
    <mergeCell ref="G30:H30"/>
    <mergeCell ref="I30:J30"/>
    <mergeCell ref="M30:N30"/>
    <mergeCell ref="C28:D28"/>
    <mergeCell ref="E28:F28"/>
    <mergeCell ref="G28:H28"/>
    <mergeCell ref="I28:J28"/>
    <mergeCell ref="K28:K30"/>
    <mergeCell ref="M28:N28"/>
    <mergeCell ref="C29:D29"/>
    <mergeCell ref="E29:F29"/>
    <mergeCell ref="G29:H29"/>
    <mergeCell ref="I29:J29"/>
    <mergeCell ref="C33:D33"/>
    <mergeCell ref="E33:F33"/>
    <mergeCell ref="G33:H33"/>
    <mergeCell ref="I33:J33"/>
    <mergeCell ref="M33:N33"/>
    <mergeCell ref="C31:D31"/>
    <mergeCell ref="E31:F31"/>
    <mergeCell ref="G31:H31"/>
    <mergeCell ref="I31:J31"/>
    <mergeCell ref="M31:N31"/>
    <mergeCell ref="C32:D32"/>
    <mergeCell ref="E32:F32"/>
    <mergeCell ref="G32:H32"/>
    <mergeCell ref="I32:J32"/>
    <mergeCell ref="M32:N32"/>
  </mergeCells>
  <conditionalFormatting sqref="C4:H4">
    <cfRule type="expression" dxfId="41" priority="3" stopIfTrue="1">
      <formula>DAY(C4)&gt;8</formula>
    </cfRule>
  </conditionalFormatting>
  <conditionalFormatting sqref="C8:I10">
    <cfRule type="expression" dxfId="40" priority="2" stopIfTrue="1">
      <formula>AND(DAY(C8)&gt;=1,DAY(C8)&lt;=15)</formula>
    </cfRule>
  </conditionalFormatting>
  <conditionalFormatting sqref="C4:I9">
    <cfRule type="expression" dxfId="39" priority="4">
      <formula>VLOOKUP(DAY(C4),DíasDeTareas,1,FALSE)=DAY(C4)</formula>
    </cfRule>
  </conditionalFormatting>
  <conditionalFormatting sqref="B14:J33">
    <cfRule type="expression" dxfId="38" priority="1">
      <formula>B14&lt;&gt;""</formula>
    </cfRule>
  </conditionalFormatting>
  <printOptions horizontalCentered="1"/>
  <pageMargins left="0.5" right="0.5" top="0.5" bottom="0.5" header="0.3" footer="0.3"/>
  <pageSetup scale="6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O33"/>
  <sheetViews>
    <sheetView showGridLines="0" topLeftCell="A19" zoomScaleNormal="100" zoomScalePageLayoutView="84" workbookViewId="0">
      <selection activeCell="B14" sqref="B14:J31"/>
    </sheetView>
  </sheetViews>
  <sheetFormatPr baseColWidth="10" defaultColWidth="8.7109375" defaultRowHeight="16.5" customHeight="1" x14ac:dyDescent="0.2"/>
  <cols>
    <col min="1" max="1" width="2.28515625" style="1" customWidth="1"/>
    <col min="2" max="2" width="12.7109375" style="1" customWidth="1"/>
    <col min="3" max="10" width="6.7109375" style="1" customWidth="1"/>
    <col min="11" max="11" width="7.28515625" style="1" customWidth="1"/>
    <col min="12" max="12" width="3.85546875" customWidth="1"/>
    <col min="13" max="13" width="51.42578125" style="1" customWidth="1"/>
    <col min="14" max="14" width="10.7109375" style="1" customWidth="1"/>
    <col min="15" max="15" width="2.28515625" customWidth="1"/>
    <col min="16" max="22" width="8.85546875" customWidth="1"/>
    <col min="42" max="16384" width="8.7109375" style="1"/>
  </cols>
  <sheetData>
    <row r="1" spans="1:14" ht="11.25" customHeight="1" x14ac:dyDescent="0.2"/>
    <row r="2" spans="1:14" ht="18" customHeight="1" x14ac:dyDescent="0.2">
      <c r="A2" s="4"/>
      <c r="B2" s="58" t="s">
        <v>24</v>
      </c>
      <c r="C2" s="21"/>
      <c r="D2" s="21"/>
      <c r="E2" s="21"/>
      <c r="F2" s="21"/>
      <c r="G2" s="21"/>
      <c r="H2" s="21"/>
      <c r="I2" s="21"/>
      <c r="J2" s="22"/>
      <c r="K2" s="98" t="s">
        <v>3</v>
      </c>
      <c r="L2" s="99">
        <v>2013</v>
      </c>
      <c r="M2" s="99"/>
      <c r="N2" s="25"/>
    </row>
    <row r="3" spans="1:14" ht="21" customHeight="1" x14ac:dyDescent="0.2">
      <c r="A3" s="4"/>
      <c r="B3" s="59"/>
      <c r="C3" s="2" t="s">
        <v>5</v>
      </c>
      <c r="D3" s="2" t="s">
        <v>1</v>
      </c>
      <c r="E3" s="2" t="s">
        <v>6</v>
      </c>
      <c r="F3" s="2" t="s">
        <v>7</v>
      </c>
      <c r="G3" s="2" t="s">
        <v>8</v>
      </c>
      <c r="H3" s="2" t="s">
        <v>0</v>
      </c>
      <c r="I3" s="2" t="s">
        <v>9</v>
      </c>
      <c r="J3" s="5"/>
      <c r="K3" s="100"/>
      <c r="L3" s="101"/>
      <c r="M3" s="101"/>
      <c r="N3" s="26"/>
    </row>
    <row r="4" spans="1:14" ht="18" customHeight="1" x14ac:dyDescent="0.2">
      <c r="A4" s="4"/>
      <c r="B4" s="59"/>
      <c r="C4" s="10">
        <f>IF(DAY(AbrDom1)=1,AbrDom1-6,AbrDom1+1)</f>
        <v>43185</v>
      </c>
      <c r="D4" s="10">
        <f>IF(DAY(AbrDom1)=1,AbrDom1-5,AbrDom1+2)</f>
        <v>43186</v>
      </c>
      <c r="E4" s="10">
        <f>IF(DAY(AbrDom1)=1,AbrDom1-4,AbrDom1+3)</f>
        <v>43187</v>
      </c>
      <c r="F4" s="10">
        <f>IF(DAY(AbrDom1)=1,AbrDom1-3,AbrDom1+4)</f>
        <v>43188</v>
      </c>
      <c r="G4" s="10">
        <f>IF(DAY(AbrDom1)=1,AbrDom1-2,AbrDom1+5)</f>
        <v>43189</v>
      </c>
      <c r="H4" s="10">
        <f>IF(DAY(AbrDom1)=1,AbrDom1-1,AbrDom1+6)</f>
        <v>43190</v>
      </c>
      <c r="I4" s="10">
        <f>IF(DAY(AbrDom1)=1,AbrDom1,AbrDom1+7)</f>
        <v>43191</v>
      </c>
      <c r="J4" s="5"/>
      <c r="K4" s="102" t="s">
        <v>12</v>
      </c>
      <c r="L4" s="16"/>
      <c r="M4" s="103"/>
      <c r="N4" s="104"/>
    </row>
    <row r="5" spans="1:14" ht="18" customHeight="1" x14ac:dyDescent="0.2">
      <c r="A5" s="4"/>
      <c r="B5" s="59"/>
      <c r="C5" s="10">
        <f>IF(DAY(AbrDom1)=1,AbrDom1+1,AbrDom1+8)</f>
        <v>43192</v>
      </c>
      <c r="D5" s="10">
        <f>IF(DAY(AbrDom1)=1,AbrDom1+2,AbrDom1+9)</f>
        <v>43193</v>
      </c>
      <c r="E5" s="10">
        <f>IF(DAY(AbrDom1)=1,AbrDom1+3,AbrDom1+10)</f>
        <v>43194</v>
      </c>
      <c r="F5" s="10">
        <f>IF(DAY(AbrDom1)=1,AbrDom1+4,AbrDom1+11)</f>
        <v>43195</v>
      </c>
      <c r="G5" s="10">
        <f>IF(DAY(AbrDom1)=1,AbrDom1+5,AbrDom1+12)</f>
        <v>43196</v>
      </c>
      <c r="H5" s="10">
        <f>IF(DAY(AbrDom1)=1,AbrDom1+6,AbrDom1+13)</f>
        <v>43197</v>
      </c>
      <c r="I5" s="10">
        <f>IF(DAY(AbrDom1)=1,AbrDom1+7,AbrDom1+14)</f>
        <v>43198</v>
      </c>
      <c r="J5" s="5"/>
      <c r="K5" s="94"/>
      <c r="L5" s="17"/>
      <c r="M5" s="64"/>
      <c r="N5" s="65"/>
    </row>
    <row r="6" spans="1:14" ht="18" customHeight="1" x14ac:dyDescent="0.2">
      <c r="A6" s="4"/>
      <c r="B6" s="59"/>
      <c r="C6" s="10">
        <f>IF(DAY(AbrDom1)=1,AbrDom1+8,AbrDom1+15)</f>
        <v>43199</v>
      </c>
      <c r="D6" s="10">
        <f>IF(DAY(AbrDom1)=1,AbrDom1+9,AbrDom1+16)</f>
        <v>43200</v>
      </c>
      <c r="E6" s="10">
        <f>IF(DAY(AbrDom1)=1,AbrDom1+10,AbrDom1+17)</f>
        <v>43201</v>
      </c>
      <c r="F6" s="10">
        <f>IF(DAY(AbrDom1)=1,AbrDom1+11,AbrDom1+18)</f>
        <v>43202</v>
      </c>
      <c r="G6" s="10">
        <f>IF(DAY(AbrDom1)=1,AbrDom1+12,AbrDom1+19)</f>
        <v>43203</v>
      </c>
      <c r="H6" s="10">
        <f>IF(DAY(AbrDom1)=1,AbrDom1+13,AbrDom1+20)</f>
        <v>43204</v>
      </c>
      <c r="I6" s="10">
        <f>IF(DAY(AbrDom1)=1,AbrDom1+14,AbrDom1+21)</f>
        <v>43205</v>
      </c>
      <c r="J6" s="5"/>
      <c r="K6" s="94"/>
      <c r="L6" s="17"/>
      <c r="M6" s="64"/>
      <c r="N6" s="65"/>
    </row>
    <row r="7" spans="1:14" ht="18" customHeight="1" x14ac:dyDescent="0.2">
      <c r="A7" s="4"/>
      <c r="B7" s="59"/>
      <c r="C7" s="10">
        <f>IF(DAY(AbrDom1)=1,AbrDom1+15,AbrDom1+22)</f>
        <v>43206</v>
      </c>
      <c r="D7" s="10">
        <f>IF(DAY(AbrDom1)=1,AbrDom1+16,AbrDom1+23)</f>
        <v>43207</v>
      </c>
      <c r="E7" s="10">
        <f>IF(DAY(AbrDom1)=1,AbrDom1+17,AbrDom1+24)</f>
        <v>43208</v>
      </c>
      <c r="F7" s="10">
        <f>IF(DAY(AbrDom1)=1,AbrDom1+18,AbrDom1+25)</f>
        <v>43209</v>
      </c>
      <c r="G7" s="10">
        <f>IF(DAY(AbrDom1)=1,AbrDom1+19,AbrDom1+26)</f>
        <v>43210</v>
      </c>
      <c r="H7" s="10">
        <f>IF(DAY(AbrDom1)=1,AbrDom1+20,AbrDom1+27)</f>
        <v>43211</v>
      </c>
      <c r="I7" s="10">
        <f>IF(DAY(AbrDom1)=1,AbrDom1+21,AbrDom1+28)</f>
        <v>43212</v>
      </c>
      <c r="J7" s="5"/>
      <c r="K7" s="11"/>
      <c r="L7" s="17"/>
      <c r="M7" s="64"/>
      <c r="N7" s="65"/>
    </row>
    <row r="8" spans="1:14" ht="18.75" customHeight="1" x14ac:dyDescent="0.2">
      <c r="A8" s="4"/>
      <c r="B8" s="59"/>
      <c r="C8" s="10">
        <f>IF(DAY(AbrDom1)=1,AbrDom1+22,AbrDom1+29)</f>
        <v>43213</v>
      </c>
      <c r="D8" s="10">
        <f>IF(DAY(AbrDom1)=1,AbrDom1+23,AbrDom1+30)</f>
        <v>43214</v>
      </c>
      <c r="E8" s="10">
        <f>IF(DAY(AbrDom1)=1,AbrDom1+24,AbrDom1+31)</f>
        <v>43215</v>
      </c>
      <c r="F8" s="10">
        <f>IF(DAY(AbrDom1)=1,AbrDom1+25,AbrDom1+32)</f>
        <v>43216</v>
      </c>
      <c r="G8" s="10">
        <f>IF(DAY(AbrDom1)=1,AbrDom1+26,AbrDom1+33)</f>
        <v>43217</v>
      </c>
      <c r="H8" s="10">
        <f>IF(DAY(AbrDom1)=1,AbrDom1+27,AbrDom1+34)</f>
        <v>43218</v>
      </c>
      <c r="I8" s="10">
        <f>IF(DAY(AbrDom1)=1,AbrDom1+28,AbrDom1+35)</f>
        <v>43219</v>
      </c>
      <c r="J8" s="5"/>
      <c r="K8" s="11"/>
      <c r="L8" s="17"/>
      <c r="M8" s="64"/>
      <c r="N8" s="65"/>
    </row>
    <row r="9" spans="1:14" ht="18" customHeight="1" x14ac:dyDescent="0.2">
      <c r="A9" s="4"/>
      <c r="B9" s="59"/>
      <c r="C9" s="10">
        <f>IF(DAY(AbrDom1)=1,AbrDom1+29,AbrDom1+36)</f>
        <v>43220</v>
      </c>
      <c r="D9" s="10">
        <f>IF(DAY(AbrDom1)=1,AbrDom1+30,AbrDom1+37)</f>
        <v>43221</v>
      </c>
      <c r="E9" s="10">
        <f>IF(DAY(AbrDom1)=1,AbrDom1+31,AbrDom1+38)</f>
        <v>43222</v>
      </c>
      <c r="F9" s="10">
        <f>IF(DAY(AbrDom1)=1,AbrDom1+32,AbrDom1+39)</f>
        <v>43223</v>
      </c>
      <c r="G9" s="10">
        <f>IF(DAY(AbrDom1)=1,AbrDom1+33,AbrDom1+40)</f>
        <v>43224</v>
      </c>
      <c r="H9" s="10">
        <f>IF(DAY(AbrDom1)=1,AbrDom1+34,AbrDom1+41)</f>
        <v>43225</v>
      </c>
      <c r="I9" s="10">
        <f>IF(DAY(AbrDom1)=1,AbrDom1+35,AbrDom1+42)</f>
        <v>43226</v>
      </c>
      <c r="J9" s="5"/>
      <c r="K9" s="12"/>
      <c r="L9" s="18"/>
      <c r="M9" s="68"/>
      <c r="N9" s="69"/>
    </row>
    <row r="10" spans="1:14" ht="18" customHeight="1" x14ac:dyDescent="0.2">
      <c r="A10" s="4"/>
      <c r="B10" s="60"/>
      <c r="C10" s="23"/>
      <c r="D10" s="23"/>
      <c r="E10" s="23"/>
      <c r="F10" s="23"/>
      <c r="G10" s="23"/>
      <c r="H10" s="23"/>
      <c r="I10" s="23"/>
      <c r="J10" s="24"/>
      <c r="K10" s="93" t="s">
        <v>13</v>
      </c>
      <c r="L10" s="16"/>
      <c r="M10" s="70"/>
      <c r="N10" s="71"/>
    </row>
    <row r="11" spans="1:14" ht="18" customHeight="1" x14ac:dyDescent="0.2">
      <c r="A11" s="4"/>
      <c r="B11" s="61" t="s">
        <v>11</v>
      </c>
      <c r="C11" s="62"/>
      <c r="D11" s="62"/>
      <c r="E11" s="62"/>
      <c r="F11" s="62"/>
      <c r="G11" s="62"/>
      <c r="H11" s="62"/>
      <c r="I11" s="62"/>
      <c r="J11" s="63"/>
      <c r="K11" s="94"/>
      <c r="L11" s="17"/>
      <c r="M11" s="64"/>
      <c r="N11" s="65"/>
    </row>
    <row r="12" spans="1:14" ht="18" customHeight="1" x14ac:dyDescent="0.2">
      <c r="A12" s="4"/>
      <c r="B12" s="61"/>
      <c r="C12" s="62"/>
      <c r="D12" s="62"/>
      <c r="E12" s="62"/>
      <c r="F12" s="62"/>
      <c r="G12" s="62"/>
      <c r="H12" s="62"/>
      <c r="I12" s="62"/>
      <c r="J12" s="63"/>
      <c r="K12" s="94"/>
      <c r="L12" s="17"/>
      <c r="M12" s="64"/>
      <c r="N12" s="65"/>
    </row>
    <row r="13" spans="1:14" ht="18" customHeight="1" x14ac:dyDescent="0.2">
      <c r="B13" s="3" t="s">
        <v>12</v>
      </c>
      <c r="C13" s="95" t="s">
        <v>13</v>
      </c>
      <c r="D13" s="97"/>
      <c r="E13" s="95" t="s">
        <v>14</v>
      </c>
      <c r="F13" s="97"/>
      <c r="G13" s="95" t="s">
        <v>15</v>
      </c>
      <c r="H13" s="97"/>
      <c r="I13" s="95" t="s">
        <v>16</v>
      </c>
      <c r="J13" s="96"/>
      <c r="K13" s="11"/>
      <c r="L13" s="17"/>
      <c r="M13" s="64"/>
      <c r="N13" s="65"/>
    </row>
    <row r="14" spans="1:14" ht="18" customHeight="1" x14ac:dyDescent="0.2">
      <c r="B14" s="8"/>
      <c r="C14" s="72"/>
      <c r="D14" s="73"/>
      <c r="E14" s="72"/>
      <c r="F14" s="73"/>
      <c r="G14" s="72"/>
      <c r="H14" s="73"/>
      <c r="I14" s="72"/>
      <c r="J14" s="87"/>
      <c r="K14" s="11"/>
      <c r="L14" s="17"/>
      <c r="M14" s="64"/>
      <c r="N14" s="65"/>
    </row>
    <row r="15" spans="1:14" ht="18" customHeight="1" x14ac:dyDescent="0.2">
      <c r="B15" s="6"/>
      <c r="C15" s="74"/>
      <c r="D15" s="75"/>
      <c r="E15" s="74"/>
      <c r="F15" s="75"/>
      <c r="G15" s="74"/>
      <c r="H15" s="75"/>
      <c r="I15" s="85"/>
      <c r="J15" s="86"/>
      <c r="K15" s="13"/>
      <c r="L15" s="19"/>
      <c r="M15" s="68"/>
      <c r="N15" s="69"/>
    </row>
    <row r="16" spans="1:14" ht="18" customHeight="1" x14ac:dyDescent="0.2">
      <c r="B16" s="8"/>
      <c r="C16" s="72"/>
      <c r="D16" s="73"/>
      <c r="E16" s="72"/>
      <c r="F16" s="73"/>
      <c r="G16" s="72"/>
      <c r="H16" s="73"/>
      <c r="I16" s="81"/>
      <c r="J16" s="82"/>
      <c r="K16" s="107" t="s">
        <v>14</v>
      </c>
      <c r="L16" s="16"/>
      <c r="M16" s="70"/>
      <c r="N16" s="71"/>
    </row>
    <row r="17" spans="2:14" ht="18" customHeight="1" x14ac:dyDescent="0.2">
      <c r="B17" s="6"/>
      <c r="C17" s="74"/>
      <c r="D17" s="75"/>
      <c r="E17" s="74"/>
      <c r="F17" s="75"/>
      <c r="G17" s="74"/>
      <c r="H17" s="75"/>
      <c r="I17" s="85"/>
      <c r="J17" s="86"/>
      <c r="K17" s="108"/>
      <c r="L17" s="17"/>
      <c r="M17" s="64"/>
      <c r="N17" s="65"/>
    </row>
    <row r="18" spans="2:14" ht="18" customHeight="1" x14ac:dyDescent="0.2">
      <c r="B18" s="9"/>
      <c r="C18" s="90"/>
      <c r="D18" s="91"/>
      <c r="E18" s="90"/>
      <c r="F18" s="91"/>
      <c r="G18" s="90"/>
      <c r="H18" s="91"/>
      <c r="I18" s="90"/>
      <c r="J18" s="92"/>
      <c r="K18" s="108"/>
      <c r="L18" s="17"/>
      <c r="M18" s="64"/>
      <c r="N18" s="65"/>
    </row>
    <row r="19" spans="2:14" ht="18" customHeight="1" x14ac:dyDescent="0.2">
      <c r="B19" s="6"/>
      <c r="C19" s="74"/>
      <c r="D19" s="75"/>
      <c r="E19" s="74"/>
      <c r="F19" s="75"/>
      <c r="G19" s="74"/>
      <c r="H19" s="75"/>
      <c r="I19" s="85"/>
      <c r="J19" s="86"/>
      <c r="K19" s="11"/>
      <c r="L19" s="17"/>
      <c r="M19" s="64"/>
      <c r="N19" s="65"/>
    </row>
    <row r="20" spans="2:14" ht="18" customHeight="1" x14ac:dyDescent="0.2">
      <c r="B20" s="8"/>
      <c r="C20" s="72"/>
      <c r="D20" s="73"/>
      <c r="E20" s="72"/>
      <c r="F20" s="73"/>
      <c r="G20" s="72"/>
      <c r="H20" s="73"/>
      <c r="I20" s="72"/>
      <c r="J20" s="87"/>
      <c r="K20" s="11"/>
      <c r="L20" s="17"/>
      <c r="M20" s="64"/>
      <c r="N20" s="65"/>
    </row>
    <row r="21" spans="2:14" ht="18" customHeight="1" x14ac:dyDescent="0.2">
      <c r="B21" s="6"/>
      <c r="C21" s="74"/>
      <c r="D21" s="75"/>
      <c r="E21" s="74"/>
      <c r="F21" s="75"/>
      <c r="G21" s="74"/>
      <c r="H21" s="75"/>
      <c r="I21" s="88"/>
      <c r="J21" s="89"/>
      <c r="K21" s="13"/>
      <c r="L21" s="19"/>
      <c r="M21" s="68"/>
      <c r="N21" s="69"/>
    </row>
    <row r="22" spans="2:14" ht="18" customHeight="1" x14ac:dyDescent="0.2">
      <c r="B22" s="8"/>
      <c r="C22" s="72"/>
      <c r="D22" s="73"/>
      <c r="E22" s="72"/>
      <c r="F22" s="73"/>
      <c r="G22" s="72"/>
      <c r="H22" s="73"/>
      <c r="I22" s="72"/>
      <c r="J22" s="87"/>
      <c r="K22" s="107" t="s">
        <v>15</v>
      </c>
      <c r="L22" s="16"/>
      <c r="M22" s="70"/>
      <c r="N22" s="71"/>
    </row>
    <row r="23" spans="2:14" ht="18" customHeight="1" x14ac:dyDescent="0.2">
      <c r="B23" s="6"/>
      <c r="C23" s="74"/>
      <c r="D23" s="75"/>
      <c r="E23" s="74"/>
      <c r="F23" s="75"/>
      <c r="G23" s="74"/>
      <c r="H23" s="75"/>
      <c r="I23" s="85"/>
      <c r="J23" s="86"/>
      <c r="K23" s="108"/>
      <c r="L23" s="17"/>
      <c r="M23" s="64"/>
      <c r="N23" s="65"/>
    </row>
    <row r="24" spans="2:14" ht="18" customHeight="1" x14ac:dyDescent="0.2">
      <c r="B24" s="8"/>
      <c r="C24" s="72"/>
      <c r="D24" s="73"/>
      <c r="E24" s="72"/>
      <c r="F24" s="73"/>
      <c r="G24" s="72"/>
      <c r="H24" s="73"/>
      <c r="I24" s="72"/>
      <c r="J24" s="87"/>
      <c r="K24" s="108"/>
      <c r="L24" s="17"/>
      <c r="M24" s="64"/>
      <c r="N24" s="65"/>
    </row>
    <row r="25" spans="2:14" ht="18" customHeight="1" x14ac:dyDescent="0.2">
      <c r="B25" s="6"/>
      <c r="C25" s="74"/>
      <c r="D25" s="75"/>
      <c r="E25" s="74"/>
      <c r="F25" s="75"/>
      <c r="G25" s="74"/>
      <c r="H25" s="75"/>
      <c r="I25" s="85"/>
      <c r="J25" s="86"/>
      <c r="K25" s="108"/>
      <c r="L25" s="17"/>
      <c r="M25" s="64"/>
      <c r="N25" s="65"/>
    </row>
    <row r="26" spans="2:14" ht="18" customHeight="1" x14ac:dyDescent="0.2">
      <c r="B26" s="8"/>
      <c r="C26" s="72"/>
      <c r="D26" s="73"/>
      <c r="E26" s="72"/>
      <c r="F26" s="73"/>
      <c r="G26" s="72"/>
      <c r="H26" s="73"/>
      <c r="I26" s="72"/>
      <c r="J26" s="87"/>
      <c r="K26" s="11"/>
      <c r="L26" s="17"/>
      <c r="M26" s="64"/>
      <c r="N26" s="65"/>
    </row>
    <row r="27" spans="2:14" ht="18" customHeight="1" x14ac:dyDescent="0.2">
      <c r="B27" s="6"/>
      <c r="C27" s="74"/>
      <c r="D27" s="75"/>
      <c r="E27" s="74"/>
      <c r="F27" s="75"/>
      <c r="G27" s="74"/>
      <c r="H27" s="75"/>
      <c r="I27" s="85"/>
      <c r="J27" s="86"/>
      <c r="K27" s="13"/>
      <c r="L27" s="19"/>
      <c r="M27" s="68"/>
      <c r="N27" s="69"/>
    </row>
    <row r="28" spans="2:14" ht="18" customHeight="1" x14ac:dyDescent="0.2">
      <c r="B28" s="8"/>
      <c r="C28" s="72"/>
      <c r="D28" s="73"/>
      <c r="E28" s="72"/>
      <c r="F28" s="73"/>
      <c r="G28" s="72"/>
      <c r="H28" s="73"/>
      <c r="I28" s="72"/>
      <c r="J28" s="87"/>
      <c r="K28" s="93" t="s">
        <v>16</v>
      </c>
      <c r="L28" s="16"/>
      <c r="M28" s="70"/>
      <c r="N28" s="71"/>
    </row>
    <row r="29" spans="2:14" ht="18" customHeight="1" x14ac:dyDescent="0.2">
      <c r="B29" s="6"/>
      <c r="C29" s="74"/>
      <c r="D29" s="75"/>
      <c r="E29" s="74"/>
      <c r="F29" s="75"/>
      <c r="G29" s="74"/>
      <c r="H29" s="75"/>
      <c r="I29" s="74"/>
      <c r="J29" s="80"/>
      <c r="K29" s="94"/>
      <c r="L29" s="17"/>
      <c r="M29" s="64"/>
      <c r="N29" s="65"/>
    </row>
    <row r="30" spans="2:14" ht="18" customHeight="1" x14ac:dyDescent="0.2">
      <c r="B30" s="8"/>
      <c r="C30" s="72"/>
      <c r="D30" s="73"/>
      <c r="E30" s="72"/>
      <c r="F30" s="73"/>
      <c r="G30" s="72"/>
      <c r="H30" s="73"/>
      <c r="I30" s="78"/>
      <c r="J30" s="79"/>
      <c r="K30" s="94"/>
      <c r="L30" s="17"/>
      <c r="M30" s="64"/>
      <c r="N30" s="65"/>
    </row>
    <row r="31" spans="2:14" ht="18" customHeight="1" x14ac:dyDescent="0.2">
      <c r="B31" s="6"/>
      <c r="C31" s="74"/>
      <c r="D31" s="75"/>
      <c r="E31" s="74"/>
      <c r="F31" s="75"/>
      <c r="G31" s="74"/>
      <c r="H31" s="75"/>
      <c r="I31" s="74"/>
      <c r="J31" s="80"/>
      <c r="K31" s="14"/>
      <c r="L31" s="17"/>
      <c r="M31" s="64"/>
      <c r="N31" s="65"/>
    </row>
    <row r="32" spans="2:14" ht="18" customHeight="1" x14ac:dyDescent="0.2">
      <c r="B32" s="8"/>
      <c r="C32" s="72"/>
      <c r="D32" s="73"/>
      <c r="E32" s="72"/>
      <c r="F32" s="73"/>
      <c r="G32" s="72"/>
      <c r="H32" s="73"/>
      <c r="I32" s="81"/>
      <c r="J32" s="82"/>
      <c r="K32" s="14"/>
      <c r="L32" s="17"/>
      <c r="M32" s="64"/>
      <c r="N32" s="65"/>
    </row>
    <row r="33" spans="2:14" ht="18" customHeight="1" x14ac:dyDescent="0.2">
      <c r="B33" s="7"/>
      <c r="C33" s="76"/>
      <c r="D33" s="77"/>
      <c r="E33" s="76"/>
      <c r="F33" s="77"/>
      <c r="G33" s="76"/>
      <c r="H33" s="77"/>
      <c r="I33" s="83"/>
      <c r="J33" s="84"/>
      <c r="K33" s="15"/>
      <c r="L33" s="20"/>
      <c r="M33" s="66"/>
      <c r="N33" s="67"/>
    </row>
  </sheetData>
  <mergeCells count="122">
    <mergeCell ref="M10:N10"/>
    <mergeCell ref="B11:J12"/>
    <mergeCell ref="M11:N11"/>
    <mergeCell ref="M12:N12"/>
    <mergeCell ref="C13:D13"/>
    <mergeCell ref="E13:F13"/>
    <mergeCell ref="G13:H13"/>
    <mergeCell ref="I13:J13"/>
    <mergeCell ref="M13:N13"/>
    <mergeCell ref="B2:B10"/>
    <mergeCell ref="K2:M3"/>
    <mergeCell ref="K4:K6"/>
    <mergeCell ref="M4:N4"/>
    <mergeCell ref="M5:N5"/>
    <mergeCell ref="M6:N6"/>
    <mergeCell ref="M7:N7"/>
    <mergeCell ref="M8:N8"/>
    <mergeCell ref="M9:N9"/>
    <mergeCell ref="K10:K12"/>
    <mergeCell ref="C14:D14"/>
    <mergeCell ref="E14:F14"/>
    <mergeCell ref="G14:H14"/>
    <mergeCell ref="I14:J14"/>
    <mergeCell ref="M14:N14"/>
    <mergeCell ref="C15:D15"/>
    <mergeCell ref="E15:F15"/>
    <mergeCell ref="G15:H15"/>
    <mergeCell ref="I15:J15"/>
    <mergeCell ref="M15:N15"/>
    <mergeCell ref="M17:N17"/>
    <mergeCell ref="C18:D18"/>
    <mergeCell ref="E18:F18"/>
    <mergeCell ref="G18:H18"/>
    <mergeCell ref="I18:J18"/>
    <mergeCell ref="M18:N18"/>
    <mergeCell ref="C16:D16"/>
    <mergeCell ref="E16:F16"/>
    <mergeCell ref="G16:H16"/>
    <mergeCell ref="I16:J16"/>
    <mergeCell ref="K16:K18"/>
    <mergeCell ref="M16:N16"/>
    <mergeCell ref="C17:D17"/>
    <mergeCell ref="E17:F17"/>
    <mergeCell ref="G17:H17"/>
    <mergeCell ref="I17:J17"/>
    <mergeCell ref="C19:D19"/>
    <mergeCell ref="E19:F19"/>
    <mergeCell ref="G19:H19"/>
    <mergeCell ref="I19:J19"/>
    <mergeCell ref="M19:N19"/>
    <mergeCell ref="C20:D20"/>
    <mergeCell ref="E20:F20"/>
    <mergeCell ref="G20:H20"/>
    <mergeCell ref="I20:J20"/>
    <mergeCell ref="M20:N20"/>
    <mergeCell ref="M22:N22"/>
    <mergeCell ref="C23:D23"/>
    <mergeCell ref="E23:F23"/>
    <mergeCell ref="G23:H23"/>
    <mergeCell ref="I23:J23"/>
    <mergeCell ref="M23:N23"/>
    <mergeCell ref="C21:D21"/>
    <mergeCell ref="E21:F21"/>
    <mergeCell ref="G21:H21"/>
    <mergeCell ref="I21:J21"/>
    <mergeCell ref="M21:N21"/>
    <mergeCell ref="C22:D22"/>
    <mergeCell ref="E22:F22"/>
    <mergeCell ref="G22:H22"/>
    <mergeCell ref="I22:J22"/>
    <mergeCell ref="K22:K25"/>
    <mergeCell ref="C24:D24"/>
    <mergeCell ref="E24:F24"/>
    <mergeCell ref="G24:H24"/>
    <mergeCell ref="I24:J24"/>
    <mergeCell ref="M24:N24"/>
    <mergeCell ref="C25:D25"/>
    <mergeCell ref="E25:F25"/>
    <mergeCell ref="G25:H25"/>
    <mergeCell ref="I25:J25"/>
    <mergeCell ref="M25:N25"/>
    <mergeCell ref="C26:D26"/>
    <mergeCell ref="E26:F26"/>
    <mergeCell ref="G26:H26"/>
    <mergeCell ref="I26:J26"/>
    <mergeCell ref="M26:N26"/>
    <mergeCell ref="C27:D27"/>
    <mergeCell ref="E27:F27"/>
    <mergeCell ref="G27:H27"/>
    <mergeCell ref="I27:J27"/>
    <mergeCell ref="M27:N27"/>
    <mergeCell ref="M29:N29"/>
    <mergeCell ref="C30:D30"/>
    <mergeCell ref="E30:F30"/>
    <mergeCell ref="G30:H30"/>
    <mergeCell ref="I30:J30"/>
    <mergeCell ref="M30:N30"/>
    <mergeCell ref="C28:D28"/>
    <mergeCell ref="E28:F28"/>
    <mergeCell ref="G28:H28"/>
    <mergeCell ref="I28:J28"/>
    <mergeCell ref="K28:K30"/>
    <mergeCell ref="M28:N28"/>
    <mergeCell ref="C29:D29"/>
    <mergeCell ref="E29:F29"/>
    <mergeCell ref="G29:H29"/>
    <mergeCell ref="I29:J29"/>
    <mergeCell ref="C33:D33"/>
    <mergeCell ref="E33:F33"/>
    <mergeCell ref="G33:H33"/>
    <mergeCell ref="I33:J33"/>
    <mergeCell ref="M33:N33"/>
    <mergeCell ref="C31:D31"/>
    <mergeCell ref="E31:F31"/>
    <mergeCell ref="G31:H31"/>
    <mergeCell ref="I31:J31"/>
    <mergeCell ref="M31:N31"/>
    <mergeCell ref="C32:D32"/>
    <mergeCell ref="E32:F32"/>
    <mergeCell ref="G32:H32"/>
    <mergeCell ref="I32:J32"/>
    <mergeCell ref="M32:N32"/>
  </mergeCells>
  <conditionalFormatting sqref="C4:H4">
    <cfRule type="expression" dxfId="37" priority="3" stopIfTrue="1">
      <formula>DAY(C4)&gt;8</formula>
    </cfRule>
  </conditionalFormatting>
  <conditionalFormatting sqref="C8:I10">
    <cfRule type="expression" dxfId="36" priority="2" stopIfTrue="1">
      <formula>AND(DAY(C8)&gt;=1,DAY(C8)&lt;=15)</formula>
    </cfRule>
  </conditionalFormatting>
  <conditionalFormatting sqref="C4:I9">
    <cfRule type="expression" dxfId="35" priority="4">
      <formula>VLOOKUP(DAY(C4),DíasDeTareas,1,FALSE)=DAY(C4)</formula>
    </cfRule>
  </conditionalFormatting>
  <conditionalFormatting sqref="B14:J33">
    <cfRule type="expression" dxfId="34" priority="1">
      <formula>B14&lt;&gt;""</formula>
    </cfRule>
  </conditionalFormatting>
  <printOptions horizontalCentered="1"/>
  <pageMargins left="0.5" right="0.5" top="0.5" bottom="0.5" header="0.3" footer="0.3"/>
  <pageSetup scale="6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O33"/>
  <sheetViews>
    <sheetView showGridLines="0" topLeftCell="A7" zoomScaleNormal="100" zoomScalePageLayoutView="84" workbookViewId="0">
      <selection activeCell="B15" sqref="B15:J31"/>
    </sheetView>
  </sheetViews>
  <sheetFormatPr baseColWidth="10" defaultColWidth="8.7109375" defaultRowHeight="16.5" customHeight="1" x14ac:dyDescent="0.2"/>
  <cols>
    <col min="1" max="1" width="2.28515625" style="1" customWidth="1"/>
    <col min="2" max="2" width="12.7109375" style="1" customWidth="1"/>
    <col min="3" max="10" width="6.7109375" style="1" customWidth="1"/>
    <col min="11" max="11" width="7.28515625" style="1" customWidth="1"/>
    <col min="12" max="12" width="3.85546875" customWidth="1"/>
    <col min="13" max="13" width="51.42578125" style="1" customWidth="1"/>
    <col min="14" max="14" width="10.7109375" style="1" customWidth="1"/>
    <col min="15" max="15" width="2.28515625" customWidth="1"/>
    <col min="16" max="22" width="8.85546875" customWidth="1"/>
    <col min="42" max="16384" width="8.7109375" style="1"/>
  </cols>
  <sheetData>
    <row r="1" spans="1:14" ht="11.25" customHeight="1" x14ac:dyDescent="0.2"/>
    <row r="2" spans="1:14" ht="18" customHeight="1" x14ac:dyDescent="0.2">
      <c r="A2" s="4"/>
      <c r="B2" s="58" t="s">
        <v>23</v>
      </c>
      <c r="C2" s="21"/>
      <c r="D2" s="21"/>
      <c r="E2" s="21"/>
      <c r="F2" s="21"/>
      <c r="G2" s="21"/>
      <c r="H2" s="21"/>
      <c r="I2" s="21"/>
      <c r="J2" s="22"/>
      <c r="K2" s="98" t="s">
        <v>3</v>
      </c>
      <c r="L2" s="99">
        <v>2013</v>
      </c>
      <c r="M2" s="99"/>
      <c r="N2" s="25"/>
    </row>
    <row r="3" spans="1:14" ht="21" customHeight="1" x14ac:dyDescent="0.2">
      <c r="A3" s="4"/>
      <c r="B3" s="59"/>
      <c r="C3" s="2" t="s">
        <v>5</v>
      </c>
      <c r="D3" s="2" t="s">
        <v>1</v>
      </c>
      <c r="E3" s="2" t="s">
        <v>6</v>
      </c>
      <c r="F3" s="2" t="s">
        <v>7</v>
      </c>
      <c r="G3" s="2" t="s">
        <v>8</v>
      </c>
      <c r="H3" s="2" t="s">
        <v>0</v>
      </c>
      <c r="I3" s="2" t="s">
        <v>9</v>
      </c>
      <c r="J3" s="5"/>
      <c r="K3" s="100"/>
      <c r="L3" s="101"/>
      <c r="M3" s="101"/>
      <c r="N3" s="26"/>
    </row>
    <row r="4" spans="1:14" ht="18" customHeight="1" x14ac:dyDescent="0.2">
      <c r="A4" s="4"/>
      <c r="B4" s="59"/>
      <c r="C4" s="10">
        <f>IF(DAY(MayDom1)=1,MayDom1-6,MayDom1+1)</f>
        <v>43220</v>
      </c>
      <c r="D4" s="10">
        <f>IF(DAY(MayDom1)=1,MayDom1-5,MayDom1+2)</f>
        <v>43221</v>
      </c>
      <c r="E4" s="10">
        <f>IF(DAY(MayDom1)=1,MayDom1-4,MayDom1+3)</f>
        <v>43222</v>
      </c>
      <c r="F4" s="10">
        <f>IF(DAY(MayDom1)=1,MayDom1-3,MayDom1+4)</f>
        <v>43223</v>
      </c>
      <c r="G4" s="10">
        <f>IF(DAY(MayDom1)=1,MayDom1-2,MayDom1+5)</f>
        <v>43224</v>
      </c>
      <c r="H4" s="10">
        <f>IF(DAY(MayDom1)=1,MayDom1-1,MayDom1+6)</f>
        <v>43225</v>
      </c>
      <c r="I4" s="10">
        <f>IF(DAY(MayDom1)=1,MayDom1,MayDom1+7)</f>
        <v>43226</v>
      </c>
      <c r="J4" s="5"/>
      <c r="K4" s="102" t="s">
        <v>12</v>
      </c>
      <c r="L4" s="16"/>
      <c r="M4" s="103"/>
      <c r="N4" s="104"/>
    </row>
    <row r="5" spans="1:14" ht="18" customHeight="1" x14ac:dyDescent="0.2">
      <c r="A5" s="4"/>
      <c r="B5" s="59"/>
      <c r="C5" s="10">
        <f>IF(DAY(MayDom1)=1,MayDom1+1,MayDom1+8)</f>
        <v>43227</v>
      </c>
      <c r="D5" s="10">
        <f>IF(DAY(MayDom1)=1,MayDom1+2,MayDom1+9)</f>
        <v>43228</v>
      </c>
      <c r="E5" s="10">
        <f>IF(DAY(MayDom1)=1,MayDom1+3,MayDom1+10)</f>
        <v>43229</v>
      </c>
      <c r="F5" s="10">
        <f>IF(DAY(MayDom1)=1,MayDom1+4,MayDom1+11)</f>
        <v>43230</v>
      </c>
      <c r="G5" s="10">
        <f>IF(DAY(MayDom1)=1,MayDom1+5,MayDom1+12)</f>
        <v>43231</v>
      </c>
      <c r="H5" s="10">
        <f>IF(DAY(MayDom1)=1,MayDom1+6,MayDom1+13)</f>
        <v>43232</v>
      </c>
      <c r="I5" s="10">
        <f>IF(DAY(MayDom1)=1,MayDom1+7,MayDom1+14)</f>
        <v>43233</v>
      </c>
      <c r="J5" s="5"/>
      <c r="K5" s="94"/>
      <c r="L5" s="17"/>
      <c r="M5" s="64"/>
      <c r="N5" s="65"/>
    </row>
    <row r="6" spans="1:14" ht="18" customHeight="1" x14ac:dyDescent="0.2">
      <c r="A6" s="4"/>
      <c r="B6" s="59"/>
      <c r="C6" s="10">
        <f>IF(DAY(MayDom1)=1,MayDom1+8,MayDom1+15)</f>
        <v>43234</v>
      </c>
      <c r="D6" s="10">
        <f>IF(DAY(MayDom1)=1,MayDom1+9,MayDom1+16)</f>
        <v>43235</v>
      </c>
      <c r="E6" s="10">
        <f>IF(DAY(MayDom1)=1,MayDom1+10,MayDom1+17)</f>
        <v>43236</v>
      </c>
      <c r="F6" s="10">
        <f>IF(DAY(MayDom1)=1,MayDom1+11,MayDom1+18)</f>
        <v>43237</v>
      </c>
      <c r="G6" s="10">
        <f>IF(DAY(MayDom1)=1,MayDom1+12,MayDom1+19)</f>
        <v>43238</v>
      </c>
      <c r="H6" s="10">
        <f>IF(DAY(MayDom1)=1,MayDom1+13,MayDom1+20)</f>
        <v>43239</v>
      </c>
      <c r="I6" s="10">
        <f>IF(DAY(MayDom1)=1,MayDom1+14,MayDom1+21)</f>
        <v>43240</v>
      </c>
      <c r="J6" s="5"/>
      <c r="K6" s="94"/>
      <c r="L6" s="17"/>
      <c r="M6" s="64"/>
      <c r="N6" s="65"/>
    </row>
    <row r="7" spans="1:14" ht="18" customHeight="1" x14ac:dyDescent="0.2">
      <c r="A7" s="4"/>
      <c r="B7" s="59"/>
      <c r="C7" s="10">
        <f>IF(DAY(MayDom1)=1,MayDom1+15,MayDom1+22)</f>
        <v>43241</v>
      </c>
      <c r="D7" s="10">
        <f>IF(DAY(MayDom1)=1,MayDom1+16,MayDom1+23)</f>
        <v>43242</v>
      </c>
      <c r="E7" s="10">
        <f>IF(DAY(MayDom1)=1,MayDom1+17,MayDom1+24)</f>
        <v>43243</v>
      </c>
      <c r="F7" s="10">
        <f>IF(DAY(MayDom1)=1,MayDom1+18,MayDom1+25)</f>
        <v>43244</v>
      </c>
      <c r="G7" s="10">
        <f>IF(DAY(MayDom1)=1,MayDom1+19,MayDom1+26)</f>
        <v>43245</v>
      </c>
      <c r="H7" s="10">
        <f>IF(DAY(MayDom1)=1,MayDom1+20,MayDom1+27)</f>
        <v>43246</v>
      </c>
      <c r="I7" s="10">
        <f>IF(DAY(MayDom1)=1,MayDom1+21,MayDom1+28)</f>
        <v>43247</v>
      </c>
      <c r="J7" s="5"/>
      <c r="K7" s="11"/>
      <c r="L7" s="17"/>
      <c r="M7" s="64"/>
      <c r="N7" s="65"/>
    </row>
    <row r="8" spans="1:14" ht="18.75" customHeight="1" x14ac:dyDescent="0.2">
      <c r="A8" s="4"/>
      <c r="B8" s="59"/>
      <c r="C8" s="10">
        <f>IF(DAY(MayDom1)=1,MayDom1+22,MayDom1+29)</f>
        <v>43248</v>
      </c>
      <c r="D8" s="10">
        <f>IF(DAY(MayDom1)=1,MayDom1+23,MayDom1+30)</f>
        <v>43249</v>
      </c>
      <c r="E8" s="10">
        <f>IF(DAY(MayDom1)=1,MayDom1+24,MayDom1+31)</f>
        <v>43250</v>
      </c>
      <c r="F8" s="10">
        <f>IF(DAY(MayDom1)=1,MayDom1+25,MayDom1+32)</f>
        <v>43251</v>
      </c>
      <c r="G8" s="10">
        <f>IF(DAY(MayDom1)=1,MayDom1+26,MayDom1+33)</f>
        <v>43252</v>
      </c>
      <c r="H8" s="10">
        <f>IF(DAY(MayDom1)=1,MayDom1+27,MayDom1+34)</f>
        <v>43253</v>
      </c>
      <c r="I8" s="10">
        <f>IF(DAY(MayDom1)=1,MayDom1+28,MayDom1+35)</f>
        <v>43254</v>
      </c>
      <c r="J8" s="5"/>
      <c r="K8" s="11"/>
      <c r="L8" s="17"/>
      <c r="M8" s="64"/>
      <c r="N8" s="65"/>
    </row>
    <row r="9" spans="1:14" ht="18" customHeight="1" x14ac:dyDescent="0.2">
      <c r="A9" s="4"/>
      <c r="B9" s="59"/>
      <c r="C9" s="10">
        <f>IF(DAY(MayDom1)=1,MayDom1+29,MayDom1+36)</f>
        <v>43255</v>
      </c>
      <c r="D9" s="10">
        <f>IF(DAY(MayDom1)=1,MayDom1+30,MayDom1+37)</f>
        <v>43256</v>
      </c>
      <c r="E9" s="10">
        <f>IF(DAY(MayDom1)=1,MayDom1+31,MayDom1+38)</f>
        <v>43257</v>
      </c>
      <c r="F9" s="10">
        <f>IF(DAY(MayDom1)=1,MayDom1+32,MayDom1+39)</f>
        <v>43258</v>
      </c>
      <c r="G9" s="10">
        <f>IF(DAY(MayDom1)=1,MayDom1+33,MayDom1+40)</f>
        <v>43259</v>
      </c>
      <c r="H9" s="10">
        <f>IF(DAY(MayDom1)=1,MayDom1+34,MayDom1+41)</f>
        <v>43260</v>
      </c>
      <c r="I9" s="10">
        <f>IF(DAY(MayDom1)=1,MayDom1+35,MayDom1+42)</f>
        <v>43261</v>
      </c>
      <c r="J9" s="5"/>
      <c r="K9" s="12"/>
      <c r="L9" s="18"/>
      <c r="M9" s="68"/>
      <c r="N9" s="69"/>
    </row>
    <row r="10" spans="1:14" ht="18" customHeight="1" x14ac:dyDescent="0.2">
      <c r="A10" s="4"/>
      <c r="B10" s="60"/>
      <c r="C10" s="23"/>
      <c r="D10" s="23"/>
      <c r="E10" s="23"/>
      <c r="F10" s="23"/>
      <c r="G10" s="23"/>
      <c r="H10" s="23"/>
      <c r="I10" s="23"/>
      <c r="J10" s="24"/>
      <c r="K10" s="93" t="s">
        <v>13</v>
      </c>
      <c r="L10" s="16"/>
      <c r="M10" s="70"/>
      <c r="N10" s="71"/>
    </row>
    <row r="11" spans="1:14" ht="18" customHeight="1" x14ac:dyDescent="0.2">
      <c r="A11" s="4"/>
      <c r="B11" s="61" t="s">
        <v>11</v>
      </c>
      <c r="C11" s="62"/>
      <c r="D11" s="62"/>
      <c r="E11" s="62"/>
      <c r="F11" s="62"/>
      <c r="G11" s="62"/>
      <c r="H11" s="62"/>
      <c r="I11" s="62"/>
      <c r="J11" s="63"/>
      <c r="K11" s="94"/>
      <c r="L11" s="17"/>
      <c r="M11" s="64"/>
      <c r="N11" s="65"/>
    </row>
    <row r="12" spans="1:14" ht="18" customHeight="1" x14ac:dyDescent="0.2">
      <c r="A12" s="4"/>
      <c r="B12" s="61"/>
      <c r="C12" s="62"/>
      <c r="D12" s="62"/>
      <c r="E12" s="62"/>
      <c r="F12" s="62"/>
      <c r="G12" s="62"/>
      <c r="H12" s="62"/>
      <c r="I12" s="62"/>
      <c r="J12" s="63"/>
      <c r="K12" s="94"/>
      <c r="L12" s="17"/>
      <c r="M12" s="64"/>
      <c r="N12" s="65"/>
    </row>
    <row r="13" spans="1:14" ht="18" customHeight="1" x14ac:dyDescent="0.2">
      <c r="B13" s="3" t="s">
        <v>12</v>
      </c>
      <c r="C13" s="95" t="s">
        <v>13</v>
      </c>
      <c r="D13" s="97"/>
      <c r="E13" s="95" t="s">
        <v>14</v>
      </c>
      <c r="F13" s="97"/>
      <c r="G13" s="95" t="s">
        <v>15</v>
      </c>
      <c r="H13" s="97"/>
      <c r="I13" s="95" t="s">
        <v>16</v>
      </c>
      <c r="J13" s="96"/>
      <c r="K13" s="11"/>
      <c r="L13" s="17"/>
      <c r="M13" s="64"/>
      <c r="N13" s="65"/>
    </row>
    <row r="14" spans="1:14" ht="18" customHeight="1" x14ac:dyDescent="0.2">
      <c r="B14" s="8" t="s">
        <v>2</v>
      </c>
      <c r="C14" s="72"/>
      <c r="D14" s="73"/>
      <c r="E14" s="72" t="s">
        <v>2</v>
      </c>
      <c r="F14" s="73"/>
      <c r="G14" s="72"/>
      <c r="H14" s="73"/>
      <c r="I14" s="72" t="s">
        <v>2</v>
      </c>
      <c r="J14" s="87"/>
      <c r="K14" s="11"/>
      <c r="L14" s="17"/>
      <c r="M14" s="64"/>
      <c r="N14" s="65"/>
    </row>
    <row r="15" spans="1:14" ht="18" customHeight="1" x14ac:dyDescent="0.2">
      <c r="B15" s="6"/>
      <c r="C15" s="74"/>
      <c r="D15" s="75"/>
      <c r="E15" s="74"/>
      <c r="F15" s="75"/>
      <c r="G15" s="74"/>
      <c r="H15" s="75"/>
      <c r="I15" s="85"/>
      <c r="J15" s="86"/>
      <c r="K15" s="13"/>
      <c r="L15" s="19"/>
      <c r="M15" s="68"/>
      <c r="N15" s="69"/>
    </row>
    <row r="16" spans="1:14" ht="18" customHeight="1" x14ac:dyDescent="0.2">
      <c r="B16" s="8"/>
      <c r="C16" s="72"/>
      <c r="D16" s="73"/>
      <c r="E16" s="72"/>
      <c r="F16" s="73"/>
      <c r="G16" s="72"/>
      <c r="H16" s="73"/>
      <c r="I16" s="81"/>
      <c r="J16" s="82"/>
      <c r="K16" s="107" t="s">
        <v>14</v>
      </c>
      <c r="L16" s="16"/>
      <c r="M16" s="70"/>
      <c r="N16" s="71"/>
    </row>
    <row r="17" spans="2:14" ht="18" customHeight="1" x14ac:dyDescent="0.2">
      <c r="B17" s="6"/>
      <c r="C17" s="74"/>
      <c r="D17" s="75"/>
      <c r="E17" s="74"/>
      <c r="F17" s="75"/>
      <c r="G17" s="74"/>
      <c r="H17" s="75"/>
      <c r="I17" s="85"/>
      <c r="J17" s="86"/>
      <c r="K17" s="108"/>
      <c r="L17" s="17"/>
      <c r="M17" s="64"/>
      <c r="N17" s="65"/>
    </row>
    <row r="18" spans="2:14" ht="18" customHeight="1" x14ac:dyDescent="0.2">
      <c r="B18" s="9"/>
      <c r="C18" s="90"/>
      <c r="D18" s="91"/>
      <c r="E18" s="90"/>
      <c r="F18" s="91"/>
      <c r="G18" s="90"/>
      <c r="H18" s="91"/>
      <c r="I18" s="90"/>
      <c r="J18" s="92"/>
      <c r="K18" s="108"/>
      <c r="L18" s="17"/>
      <c r="M18" s="64"/>
      <c r="N18" s="65"/>
    </row>
    <row r="19" spans="2:14" ht="18" customHeight="1" x14ac:dyDescent="0.2">
      <c r="B19" s="6"/>
      <c r="C19" s="74"/>
      <c r="D19" s="75"/>
      <c r="E19" s="74"/>
      <c r="F19" s="75"/>
      <c r="G19" s="74"/>
      <c r="H19" s="75"/>
      <c r="I19" s="85"/>
      <c r="J19" s="86"/>
      <c r="K19" s="11"/>
      <c r="L19" s="17"/>
      <c r="M19" s="64"/>
      <c r="N19" s="65"/>
    </row>
    <row r="20" spans="2:14" ht="18" customHeight="1" x14ac:dyDescent="0.2">
      <c r="B20" s="8"/>
      <c r="C20" s="72"/>
      <c r="D20" s="73"/>
      <c r="E20" s="72"/>
      <c r="F20" s="73"/>
      <c r="G20" s="72"/>
      <c r="H20" s="73"/>
      <c r="I20" s="72"/>
      <c r="J20" s="87"/>
      <c r="K20" s="11"/>
      <c r="L20" s="17"/>
      <c r="M20" s="64"/>
      <c r="N20" s="65"/>
    </row>
    <row r="21" spans="2:14" ht="18" customHeight="1" x14ac:dyDescent="0.2">
      <c r="B21" s="6"/>
      <c r="C21" s="74"/>
      <c r="D21" s="75"/>
      <c r="E21" s="74"/>
      <c r="F21" s="75"/>
      <c r="G21" s="74"/>
      <c r="H21" s="75"/>
      <c r="I21" s="88"/>
      <c r="J21" s="89"/>
      <c r="K21" s="13"/>
      <c r="L21" s="19"/>
      <c r="M21" s="68"/>
      <c r="N21" s="69"/>
    </row>
    <row r="22" spans="2:14" ht="18" customHeight="1" x14ac:dyDescent="0.2">
      <c r="B22" s="8"/>
      <c r="C22" s="72"/>
      <c r="D22" s="73"/>
      <c r="E22" s="72"/>
      <c r="F22" s="73"/>
      <c r="G22" s="72"/>
      <c r="H22" s="73"/>
      <c r="I22" s="72"/>
      <c r="J22" s="87"/>
      <c r="K22" s="107" t="s">
        <v>15</v>
      </c>
      <c r="L22" s="16"/>
      <c r="M22" s="70"/>
      <c r="N22" s="71"/>
    </row>
    <row r="23" spans="2:14" ht="18" customHeight="1" x14ac:dyDescent="0.2">
      <c r="B23" s="6"/>
      <c r="C23" s="74"/>
      <c r="D23" s="75"/>
      <c r="E23" s="74"/>
      <c r="F23" s="75"/>
      <c r="G23" s="74"/>
      <c r="H23" s="75"/>
      <c r="I23" s="85"/>
      <c r="J23" s="86"/>
      <c r="K23" s="108"/>
      <c r="L23" s="17"/>
      <c r="M23" s="64"/>
      <c r="N23" s="65"/>
    </row>
    <row r="24" spans="2:14" ht="18" customHeight="1" x14ac:dyDescent="0.2">
      <c r="B24" s="8"/>
      <c r="C24" s="72"/>
      <c r="D24" s="73"/>
      <c r="E24" s="72"/>
      <c r="F24" s="73"/>
      <c r="G24" s="72"/>
      <c r="H24" s="73"/>
      <c r="I24" s="72"/>
      <c r="J24" s="87"/>
      <c r="K24" s="108"/>
      <c r="L24" s="17"/>
      <c r="M24" s="64"/>
      <c r="N24" s="65"/>
    </row>
    <row r="25" spans="2:14" ht="18" customHeight="1" x14ac:dyDescent="0.2">
      <c r="B25" s="6"/>
      <c r="C25" s="74"/>
      <c r="D25" s="75"/>
      <c r="E25" s="74"/>
      <c r="F25" s="75"/>
      <c r="G25" s="74"/>
      <c r="H25" s="75"/>
      <c r="I25" s="85"/>
      <c r="J25" s="86"/>
      <c r="K25" s="108"/>
      <c r="L25" s="17"/>
      <c r="M25" s="64"/>
      <c r="N25" s="65"/>
    </row>
    <row r="26" spans="2:14" ht="18" customHeight="1" x14ac:dyDescent="0.2">
      <c r="B26" s="8"/>
      <c r="C26" s="72"/>
      <c r="D26" s="73"/>
      <c r="E26" s="72"/>
      <c r="F26" s="73"/>
      <c r="G26" s="72"/>
      <c r="H26" s="73"/>
      <c r="I26" s="72"/>
      <c r="J26" s="87"/>
      <c r="K26" s="11"/>
      <c r="L26" s="17"/>
      <c r="M26" s="64"/>
      <c r="N26" s="65"/>
    </row>
    <row r="27" spans="2:14" ht="18" customHeight="1" x14ac:dyDescent="0.2">
      <c r="B27" s="6"/>
      <c r="C27" s="74"/>
      <c r="D27" s="75"/>
      <c r="E27" s="74"/>
      <c r="F27" s="75"/>
      <c r="G27" s="74"/>
      <c r="H27" s="75"/>
      <c r="I27" s="85"/>
      <c r="J27" s="86"/>
      <c r="K27" s="13"/>
      <c r="L27" s="19"/>
      <c r="M27" s="68"/>
      <c r="N27" s="69"/>
    </row>
    <row r="28" spans="2:14" ht="18" customHeight="1" x14ac:dyDescent="0.2">
      <c r="B28" s="8"/>
      <c r="C28" s="72"/>
      <c r="D28" s="73"/>
      <c r="E28" s="72"/>
      <c r="F28" s="73"/>
      <c r="G28" s="72"/>
      <c r="H28" s="73"/>
      <c r="I28" s="72"/>
      <c r="J28" s="87"/>
      <c r="K28" s="93" t="s">
        <v>16</v>
      </c>
      <c r="L28" s="16"/>
      <c r="M28" s="70"/>
      <c r="N28" s="71"/>
    </row>
    <row r="29" spans="2:14" ht="18" customHeight="1" x14ac:dyDescent="0.2">
      <c r="B29" s="6"/>
      <c r="C29" s="74"/>
      <c r="D29" s="75"/>
      <c r="E29" s="74"/>
      <c r="F29" s="75"/>
      <c r="G29" s="74"/>
      <c r="H29" s="75"/>
      <c r="I29" s="74"/>
      <c r="J29" s="80"/>
      <c r="K29" s="94"/>
      <c r="L29" s="17"/>
      <c r="M29" s="64"/>
      <c r="N29" s="65"/>
    </row>
    <row r="30" spans="2:14" ht="18" customHeight="1" x14ac:dyDescent="0.2">
      <c r="B30" s="8"/>
      <c r="C30" s="72"/>
      <c r="D30" s="73"/>
      <c r="E30" s="72"/>
      <c r="F30" s="73"/>
      <c r="G30" s="72"/>
      <c r="H30" s="73"/>
      <c r="I30" s="78"/>
      <c r="J30" s="79"/>
      <c r="K30" s="94"/>
      <c r="L30" s="17"/>
      <c r="M30" s="64"/>
      <c r="N30" s="65"/>
    </row>
    <row r="31" spans="2:14" ht="18" customHeight="1" x14ac:dyDescent="0.2">
      <c r="B31" s="6"/>
      <c r="C31" s="74"/>
      <c r="D31" s="75"/>
      <c r="E31" s="74"/>
      <c r="F31" s="75"/>
      <c r="G31" s="74"/>
      <c r="H31" s="75"/>
      <c r="I31" s="74"/>
      <c r="J31" s="80"/>
      <c r="K31" s="14"/>
      <c r="L31" s="17"/>
      <c r="M31" s="64"/>
      <c r="N31" s="65"/>
    </row>
    <row r="32" spans="2:14" ht="18" customHeight="1" x14ac:dyDescent="0.2">
      <c r="B32" s="8"/>
      <c r="C32" s="72"/>
      <c r="D32" s="73"/>
      <c r="E32" s="72"/>
      <c r="F32" s="73"/>
      <c r="G32" s="72"/>
      <c r="H32" s="73"/>
      <c r="I32" s="81"/>
      <c r="J32" s="82"/>
      <c r="K32" s="14"/>
      <c r="L32" s="17"/>
      <c r="M32" s="64"/>
      <c r="N32" s="65"/>
    </row>
    <row r="33" spans="2:14" ht="18" customHeight="1" x14ac:dyDescent="0.2">
      <c r="B33" s="7"/>
      <c r="C33" s="76"/>
      <c r="D33" s="77"/>
      <c r="E33" s="76"/>
      <c r="F33" s="77"/>
      <c r="G33" s="76"/>
      <c r="H33" s="77"/>
      <c r="I33" s="83"/>
      <c r="J33" s="84"/>
      <c r="K33" s="15"/>
      <c r="L33" s="20"/>
      <c r="M33" s="66"/>
      <c r="N33" s="67"/>
    </row>
  </sheetData>
  <mergeCells count="122">
    <mergeCell ref="M10:N10"/>
    <mergeCell ref="B11:J12"/>
    <mergeCell ref="M11:N11"/>
    <mergeCell ref="M12:N12"/>
    <mergeCell ref="C13:D13"/>
    <mergeCell ref="E13:F13"/>
    <mergeCell ref="G13:H13"/>
    <mergeCell ref="I13:J13"/>
    <mergeCell ref="M13:N13"/>
    <mergeCell ref="B2:B10"/>
    <mergeCell ref="K2:M3"/>
    <mergeCell ref="K4:K6"/>
    <mergeCell ref="M4:N4"/>
    <mergeCell ref="M5:N5"/>
    <mergeCell ref="M6:N6"/>
    <mergeCell ref="M7:N7"/>
    <mergeCell ref="M8:N8"/>
    <mergeCell ref="M9:N9"/>
    <mergeCell ref="K10:K12"/>
    <mergeCell ref="C14:D14"/>
    <mergeCell ref="E14:F14"/>
    <mergeCell ref="G14:H14"/>
    <mergeCell ref="I14:J14"/>
    <mergeCell ref="M14:N14"/>
    <mergeCell ref="C15:D15"/>
    <mergeCell ref="E15:F15"/>
    <mergeCell ref="G15:H15"/>
    <mergeCell ref="I15:J15"/>
    <mergeCell ref="M15:N15"/>
    <mergeCell ref="M17:N17"/>
    <mergeCell ref="C18:D18"/>
    <mergeCell ref="E18:F18"/>
    <mergeCell ref="G18:H18"/>
    <mergeCell ref="I18:J18"/>
    <mergeCell ref="M18:N18"/>
    <mergeCell ref="C16:D16"/>
    <mergeCell ref="E16:F16"/>
    <mergeCell ref="G16:H16"/>
    <mergeCell ref="I16:J16"/>
    <mergeCell ref="K16:K18"/>
    <mergeCell ref="M16:N16"/>
    <mergeCell ref="C17:D17"/>
    <mergeCell ref="E17:F17"/>
    <mergeCell ref="G17:H17"/>
    <mergeCell ref="I17:J17"/>
    <mergeCell ref="C19:D19"/>
    <mergeCell ref="E19:F19"/>
    <mergeCell ref="G19:H19"/>
    <mergeCell ref="I19:J19"/>
    <mergeCell ref="M19:N19"/>
    <mergeCell ref="C20:D20"/>
    <mergeCell ref="E20:F20"/>
    <mergeCell ref="G20:H20"/>
    <mergeCell ref="I20:J20"/>
    <mergeCell ref="M20:N20"/>
    <mergeCell ref="M22:N22"/>
    <mergeCell ref="C23:D23"/>
    <mergeCell ref="E23:F23"/>
    <mergeCell ref="G23:H23"/>
    <mergeCell ref="I23:J23"/>
    <mergeCell ref="M23:N23"/>
    <mergeCell ref="C21:D21"/>
    <mergeCell ref="E21:F21"/>
    <mergeCell ref="G21:H21"/>
    <mergeCell ref="I21:J21"/>
    <mergeCell ref="M21:N21"/>
    <mergeCell ref="C22:D22"/>
    <mergeCell ref="E22:F22"/>
    <mergeCell ref="G22:H22"/>
    <mergeCell ref="I22:J22"/>
    <mergeCell ref="K22:K25"/>
    <mergeCell ref="C24:D24"/>
    <mergeCell ref="E24:F24"/>
    <mergeCell ref="G24:H24"/>
    <mergeCell ref="I24:J24"/>
    <mergeCell ref="M24:N24"/>
    <mergeCell ref="C25:D25"/>
    <mergeCell ref="E25:F25"/>
    <mergeCell ref="G25:H25"/>
    <mergeCell ref="I25:J25"/>
    <mergeCell ref="M25:N25"/>
    <mergeCell ref="C26:D26"/>
    <mergeCell ref="E26:F26"/>
    <mergeCell ref="G26:H26"/>
    <mergeCell ref="I26:J26"/>
    <mergeCell ref="M26:N26"/>
    <mergeCell ref="C27:D27"/>
    <mergeCell ref="E27:F27"/>
    <mergeCell ref="G27:H27"/>
    <mergeCell ref="I27:J27"/>
    <mergeCell ref="M27:N27"/>
    <mergeCell ref="M29:N29"/>
    <mergeCell ref="C30:D30"/>
    <mergeCell ref="E30:F30"/>
    <mergeCell ref="G30:H30"/>
    <mergeCell ref="I30:J30"/>
    <mergeCell ref="M30:N30"/>
    <mergeCell ref="C28:D28"/>
    <mergeCell ref="E28:F28"/>
    <mergeCell ref="G28:H28"/>
    <mergeCell ref="I28:J28"/>
    <mergeCell ref="K28:K30"/>
    <mergeCell ref="M28:N28"/>
    <mergeCell ref="C29:D29"/>
    <mergeCell ref="E29:F29"/>
    <mergeCell ref="G29:H29"/>
    <mergeCell ref="I29:J29"/>
    <mergeCell ref="C33:D33"/>
    <mergeCell ref="E33:F33"/>
    <mergeCell ref="G33:H33"/>
    <mergeCell ref="I33:J33"/>
    <mergeCell ref="M33:N33"/>
    <mergeCell ref="C31:D31"/>
    <mergeCell ref="E31:F31"/>
    <mergeCell ref="G31:H31"/>
    <mergeCell ref="I31:J31"/>
    <mergeCell ref="M31:N31"/>
    <mergeCell ref="C32:D32"/>
    <mergeCell ref="E32:F32"/>
    <mergeCell ref="G32:H32"/>
    <mergeCell ref="I32:J32"/>
    <mergeCell ref="M32:N32"/>
  </mergeCells>
  <conditionalFormatting sqref="C4:H4">
    <cfRule type="expression" dxfId="33" priority="3" stopIfTrue="1">
      <formula>DAY(C4)&gt;8</formula>
    </cfRule>
  </conditionalFormatting>
  <conditionalFormatting sqref="C8:I10">
    <cfRule type="expression" dxfId="32" priority="2" stopIfTrue="1">
      <formula>AND(DAY(C8)&gt;=1,DAY(C8)&lt;=15)</formula>
    </cfRule>
  </conditionalFormatting>
  <conditionalFormatting sqref="C4:I9">
    <cfRule type="expression" dxfId="31" priority="4">
      <formula>VLOOKUP(DAY(C4),DíasDeTareas,1,FALSE)=DAY(C4)</formula>
    </cfRule>
  </conditionalFormatting>
  <conditionalFormatting sqref="B14:J33">
    <cfRule type="expression" dxfId="30" priority="1">
      <formula>B14&lt;&gt;""</formula>
    </cfRule>
  </conditionalFormatting>
  <printOptions horizontalCentered="1"/>
  <pageMargins left="0.5" right="0.5" top="0.5" bottom="0.5" header="0.3" footer="0.3"/>
  <pageSetup scale="6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O33"/>
  <sheetViews>
    <sheetView showGridLines="0" topLeftCell="A9" zoomScaleNormal="100" zoomScalePageLayoutView="84" workbookViewId="0">
      <selection activeCell="M25" sqref="M24:N25"/>
    </sheetView>
  </sheetViews>
  <sheetFormatPr baseColWidth="10" defaultColWidth="8.7109375" defaultRowHeight="16.5" customHeight="1" x14ac:dyDescent="0.2"/>
  <cols>
    <col min="1" max="1" width="2.28515625" style="1" customWidth="1"/>
    <col min="2" max="2" width="12.7109375" style="1" customWidth="1"/>
    <col min="3" max="10" width="6.7109375" style="1" customWidth="1"/>
    <col min="11" max="11" width="7.28515625" style="1" customWidth="1"/>
    <col min="12" max="12" width="3.85546875" customWidth="1"/>
    <col min="13" max="13" width="51.42578125" style="1" customWidth="1"/>
    <col min="14" max="14" width="10.7109375" style="1" customWidth="1"/>
    <col min="15" max="15" width="2.28515625" customWidth="1"/>
    <col min="16" max="22" width="8.85546875" customWidth="1"/>
    <col min="42" max="16384" width="8.7109375" style="1"/>
  </cols>
  <sheetData>
    <row r="1" spans="1:14" ht="11.25" customHeight="1" x14ac:dyDescent="0.2"/>
    <row r="2" spans="1:14" ht="18" customHeight="1" x14ac:dyDescent="0.2">
      <c r="A2" s="4"/>
      <c r="B2" s="58" t="s">
        <v>22</v>
      </c>
      <c r="C2" s="21"/>
      <c r="D2" s="21"/>
      <c r="E2" s="21"/>
      <c r="F2" s="21"/>
      <c r="G2" s="21"/>
      <c r="H2" s="21"/>
      <c r="I2" s="21"/>
      <c r="J2" s="22"/>
      <c r="K2" s="98" t="s">
        <v>3</v>
      </c>
      <c r="L2" s="99">
        <v>2013</v>
      </c>
      <c r="M2" s="99"/>
      <c r="N2" s="25"/>
    </row>
    <row r="3" spans="1:14" ht="21" customHeight="1" x14ac:dyDescent="0.2">
      <c r="A3" s="4"/>
      <c r="B3" s="59"/>
      <c r="C3" s="2" t="s">
        <v>5</v>
      </c>
      <c r="D3" s="2" t="s">
        <v>1</v>
      </c>
      <c r="E3" s="2" t="s">
        <v>6</v>
      </c>
      <c r="F3" s="2" t="s">
        <v>7</v>
      </c>
      <c r="G3" s="2" t="s">
        <v>8</v>
      </c>
      <c r="H3" s="2" t="s">
        <v>0</v>
      </c>
      <c r="I3" s="2" t="s">
        <v>9</v>
      </c>
      <c r="J3" s="5"/>
      <c r="K3" s="100"/>
      <c r="L3" s="101"/>
      <c r="M3" s="101"/>
      <c r="N3" s="26"/>
    </row>
    <row r="4" spans="1:14" ht="18" customHeight="1" x14ac:dyDescent="0.2">
      <c r="A4" s="4"/>
      <c r="B4" s="59"/>
      <c r="C4" s="10">
        <f>IF(DAY(JunDom1)=1,JunDom1-6,JunDom1+1)</f>
        <v>43248</v>
      </c>
      <c r="D4" s="10">
        <f>IF(DAY(JunDom1)=1,JunDom1-5,JunDom1+2)</f>
        <v>43249</v>
      </c>
      <c r="E4" s="10">
        <f>IF(DAY(JunDom1)=1,JunDom1-4,JunDom1+3)</f>
        <v>43250</v>
      </c>
      <c r="F4" s="10">
        <f>IF(DAY(JunDom1)=1,JunDom1-3,JunDom1+4)</f>
        <v>43251</v>
      </c>
      <c r="G4" s="10">
        <f>IF(DAY(JunDom1)=1,JunDom1-2,JunDom1+5)</f>
        <v>43252</v>
      </c>
      <c r="H4" s="10">
        <f>IF(DAY(JunDom1)=1,JunDom1-1,JunDom1+6)</f>
        <v>43253</v>
      </c>
      <c r="I4" s="10">
        <f>IF(DAY(JunDom1)=1,JunDom1,JunDom1+7)</f>
        <v>43254</v>
      </c>
      <c r="J4" s="5"/>
      <c r="K4" s="102" t="s">
        <v>12</v>
      </c>
      <c r="L4" s="16"/>
      <c r="M4" s="103"/>
      <c r="N4" s="104"/>
    </row>
    <row r="5" spans="1:14" ht="18" customHeight="1" x14ac:dyDescent="0.2">
      <c r="A5" s="4"/>
      <c r="B5" s="59"/>
      <c r="C5" s="10">
        <f>IF(DAY(JunDom1)=1,JunDom1+1,JunDom1+8)</f>
        <v>43255</v>
      </c>
      <c r="D5" s="10">
        <f>IF(DAY(JunDom1)=1,JunDom1+2,JunDom1+9)</f>
        <v>43256</v>
      </c>
      <c r="E5" s="10">
        <f>IF(DAY(JunDom1)=1,JunDom1+3,JunDom1+10)</f>
        <v>43257</v>
      </c>
      <c r="F5" s="10">
        <f>IF(DAY(JunDom1)=1,JunDom1+4,JunDom1+11)</f>
        <v>43258</v>
      </c>
      <c r="G5" s="10">
        <f>IF(DAY(JunDom1)=1,JunDom1+5,JunDom1+12)</f>
        <v>43259</v>
      </c>
      <c r="H5" s="10">
        <f>IF(DAY(JunDom1)=1,JunDom1+6,JunDom1+13)</f>
        <v>43260</v>
      </c>
      <c r="I5" s="10">
        <f>IF(DAY(JunDom1)=1,JunDom1+7,JunDom1+14)</f>
        <v>43261</v>
      </c>
      <c r="J5" s="5"/>
      <c r="K5" s="94"/>
      <c r="L5" s="17"/>
      <c r="M5" s="64"/>
      <c r="N5" s="65"/>
    </row>
    <row r="6" spans="1:14" ht="18" customHeight="1" x14ac:dyDescent="0.2">
      <c r="A6" s="4"/>
      <c r="B6" s="59"/>
      <c r="C6" s="10">
        <f>IF(DAY(JunDom1)=1,JunDom1+8,JunDom1+15)</f>
        <v>43262</v>
      </c>
      <c r="D6" s="10">
        <f>IF(DAY(JunDom1)=1,JunDom1+9,JunDom1+16)</f>
        <v>43263</v>
      </c>
      <c r="E6" s="10">
        <f>IF(DAY(JunDom1)=1,JunDom1+10,JunDom1+17)</f>
        <v>43264</v>
      </c>
      <c r="F6" s="10">
        <f>IF(DAY(JunDom1)=1,JunDom1+11,JunDom1+18)</f>
        <v>43265</v>
      </c>
      <c r="G6" s="10">
        <f>IF(DAY(JunDom1)=1,JunDom1+12,JunDom1+19)</f>
        <v>43266</v>
      </c>
      <c r="H6" s="10">
        <f>IF(DAY(JunDom1)=1,JunDom1+13,JunDom1+20)</f>
        <v>43267</v>
      </c>
      <c r="I6" s="10">
        <f>IF(DAY(JunDom1)=1,JunDom1+14,JunDom1+21)</f>
        <v>43268</v>
      </c>
      <c r="J6" s="5"/>
      <c r="K6" s="94"/>
      <c r="L6" s="17"/>
      <c r="M6" s="64"/>
      <c r="N6" s="65"/>
    </row>
    <row r="7" spans="1:14" ht="18" customHeight="1" x14ac:dyDescent="0.2">
      <c r="A7" s="4"/>
      <c r="B7" s="59"/>
      <c r="C7" s="10">
        <f>IF(DAY(JunDom1)=1,JunDom1+15,JunDom1+22)</f>
        <v>43269</v>
      </c>
      <c r="D7" s="10">
        <f>IF(DAY(JunDom1)=1,JunDom1+16,JunDom1+23)</f>
        <v>43270</v>
      </c>
      <c r="E7" s="10">
        <f>IF(DAY(JunDom1)=1,JunDom1+17,JunDom1+24)</f>
        <v>43271</v>
      </c>
      <c r="F7" s="10">
        <f>IF(DAY(JunDom1)=1,JunDom1+18,JunDom1+25)</f>
        <v>43272</v>
      </c>
      <c r="G7" s="10">
        <f>IF(DAY(JunDom1)=1,JunDom1+19,JunDom1+26)</f>
        <v>43273</v>
      </c>
      <c r="H7" s="10">
        <f>IF(DAY(JunDom1)=1,JunDom1+20,JunDom1+27)</f>
        <v>43274</v>
      </c>
      <c r="I7" s="10">
        <f>IF(DAY(JunDom1)=1,JunDom1+21,JunDom1+28)</f>
        <v>43275</v>
      </c>
      <c r="J7" s="5"/>
      <c r="K7" s="11"/>
      <c r="L7" s="17"/>
      <c r="M7" s="64"/>
      <c r="N7" s="65"/>
    </row>
    <row r="8" spans="1:14" ht="18.75" customHeight="1" x14ac:dyDescent="0.2">
      <c r="A8" s="4"/>
      <c r="B8" s="59"/>
      <c r="C8" s="10">
        <f>IF(DAY(JunDom1)=1,JunDom1+22,JunDom1+29)</f>
        <v>43276</v>
      </c>
      <c r="D8" s="10">
        <f>IF(DAY(JunDom1)=1,JunDom1+23,JunDom1+30)</f>
        <v>43277</v>
      </c>
      <c r="E8" s="10">
        <f>IF(DAY(JunDom1)=1,JunDom1+24,JunDom1+31)</f>
        <v>43278</v>
      </c>
      <c r="F8" s="10">
        <f>IF(DAY(JunDom1)=1,JunDom1+25,JunDom1+32)</f>
        <v>43279</v>
      </c>
      <c r="G8" s="10">
        <f>IF(DAY(JunDom1)=1,JunDom1+26,JunDom1+33)</f>
        <v>43280</v>
      </c>
      <c r="H8" s="10">
        <f>IF(DAY(JunDom1)=1,JunDom1+27,JunDom1+34)</f>
        <v>43281</v>
      </c>
      <c r="I8" s="10">
        <f>IF(DAY(JunDom1)=1,JunDom1+28,JunDom1+35)</f>
        <v>43282</v>
      </c>
      <c r="J8" s="5"/>
      <c r="K8" s="11"/>
      <c r="L8" s="17"/>
      <c r="M8" s="64"/>
      <c r="N8" s="65"/>
    </row>
    <row r="9" spans="1:14" ht="18" customHeight="1" x14ac:dyDescent="0.2">
      <c r="A9" s="4"/>
      <c r="B9" s="59"/>
      <c r="C9" s="10">
        <f>IF(DAY(JunDom1)=1,JunDom1+29,JunDom1+36)</f>
        <v>43283</v>
      </c>
      <c r="D9" s="10">
        <f>IF(DAY(JunDom1)=1,JunDom1+30,JunDom1+37)</f>
        <v>43284</v>
      </c>
      <c r="E9" s="10">
        <f>IF(DAY(JunDom1)=1,JunDom1+31,JunDom1+38)</f>
        <v>43285</v>
      </c>
      <c r="F9" s="10">
        <f>IF(DAY(JunDom1)=1,JunDom1+32,JunDom1+39)</f>
        <v>43286</v>
      </c>
      <c r="G9" s="10">
        <f>IF(DAY(JunDom1)=1,JunDom1+33,JunDom1+40)</f>
        <v>43287</v>
      </c>
      <c r="H9" s="10">
        <f>IF(DAY(JunDom1)=1,JunDom1+34,JunDom1+41)</f>
        <v>43288</v>
      </c>
      <c r="I9" s="10">
        <f>IF(DAY(JunDom1)=1,JunDom1+35,JunDom1+42)</f>
        <v>43289</v>
      </c>
      <c r="J9" s="5"/>
      <c r="K9" s="12"/>
      <c r="L9" s="18"/>
      <c r="M9" s="68"/>
      <c r="N9" s="69"/>
    </row>
    <row r="10" spans="1:14" ht="18" customHeight="1" x14ac:dyDescent="0.2">
      <c r="A10" s="4"/>
      <c r="B10" s="60"/>
      <c r="C10" s="23"/>
      <c r="D10" s="23"/>
      <c r="E10" s="23"/>
      <c r="F10" s="23"/>
      <c r="G10" s="23"/>
      <c r="H10" s="23"/>
      <c r="I10" s="23"/>
      <c r="J10" s="24"/>
      <c r="K10" s="93" t="s">
        <v>13</v>
      </c>
      <c r="L10" s="16"/>
      <c r="M10" s="70"/>
      <c r="N10" s="71"/>
    </row>
    <row r="11" spans="1:14" ht="18" customHeight="1" x14ac:dyDescent="0.2">
      <c r="A11" s="4"/>
      <c r="B11" s="61" t="s">
        <v>11</v>
      </c>
      <c r="C11" s="62"/>
      <c r="D11" s="62"/>
      <c r="E11" s="62"/>
      <c r="F11" s="62"/>
      <c r="G11" s="62"/>
      <c r="H11" s="62"/>
      <c r="I11" s="62"/>
      <c r="J11" s="63"/>
      <c r="K11" s="94"/>
      <c r="L11" s="17"/>
      <c r="M11" s="64"/>
      <c r="N11" s="65"/>
    </row>
    <row r="12" spans="1:14" ht="18" customHeight="1" x14ac:dyDescent="0.2">
      <c r="A12" s="4"/>
      <c r="B12" s="61"/>
      <c r="C12" s="62"/>
      <c r="D12" s="62"/>
      <c r="E12" s="62"/>
      <c r="F12" s="62"/>
      <c r="G12" s="62"/>
      <c r="H12" s="62"/>
      <c r="I12" s="62"/>
      <c r="J12" s="63"/>
      <c r="K12" s="94"/>
      <c r="L12" s="17"/>
      <c r="M12" s="64"/>
      <c r="N12" s="65"/>
    </row>
    <row r="13" spans="1:14" ht="18" customHeight="1" x14ac:dyDescent="0.2">
      <c r="B13" s="3" t="s">
        <v>12</v>
      </c>
      <c r="C13" s="95" t="s">
        <v>13</v>
      </c>
      <c r="D13" s="97"/>
      <c r="E13" s="95" t="s">
        <v>14</v>
      </c>
      <c r="F13" s="97"/>
      <c r="G13" s="95" t="s">
        <v>15</v>
      </c>
      <c r="H13" s="97"/>
      <c r="I13" s="95" t="s">
        <v>16</v>
      </c>
      <c r="J13" s="96"/>
      <c r="K13" s="11"/>
      <c r="L13" s="17"/>
      <c r="M13" s="64"/>
      <c r="N13" s="65"/>
    </row>
    <row r="14" spans="1:14" ht="18" customHeight="1" x14ac:dyDescent="0.2">
      <c r="B14" s="8"/>
      <c r="C14" s="72"/>
      <c r="D14" s="73"/>
      <c r="E14" s="72"/>
      <c r="F14" s="73"/>
      <c r="G14" s="72"/>
      <c r="H14" s="73"/>
      <c r="I14" s="72"/>
      <c r="J14" s="87"/>
      <c r="K14" s="11"/>
      <c r="L14" s="17"/>
      <c r="M14" s="64"/>
      <c r="N14" s="65"/>
    </row>
    <row r="15" spans="1:14" ht="18" customHeight="1" x14ac:dyDescent="0.2">
      <c r="B15" s="6"/>
      <c r="C15" s="74"/>
      <c r="D15" s="75"/>
      <c r="E15" s="74"/>
      <c r="F15" s="75"/>
      <c r="G15" s="74"/>
      <c r="H15" s="75"/>
      <c r="I15" s="85"/>
      <c r="J15" s="86"/>
      <c r="K15" s="13"/>
      <c r="L15" s="19"/>
      <c r="M15" s="68"/>
      <c r="N15" s="69"/>
    </row>
    <row r="16" spans="1:14" ht="18" customHeight="1" x14ac:dyDescent="0.2">
      <c r="B16" s="8"/>
      <c r="C16" s="72"/>
      <c r="D16" s="73"/>
      <c r="E16" s="72"/>
      <c r="F16" s="73"/>
      <c r="G16" s="72"/>
      <c r="H16" s="73"/>
      <c r="I16" s="81"/>
      <c r="J16" s="82"/>
      <c r="K16" s="107" t="s">
        <v>14</v>
      </c>
      <c r="L16" s="16"/>
      <c r="M16" s="70"/>
      <c r="N16" s="71"/>
    </row>
    <row r="17" spans="2:14" ht="18" customHeight="1" x14ac:dyDescent="0.2">
      <c r="B17" s="6"/>
      <c r="C17" s="74"/>
      <c r="D17" s="75"/>
      <c r="E17" s="74"/>
      <c r="F17" s="75"/>
      <c r="G17" s="74"/>
      <c r="H17" s="75"/>
      <c r="I17" s="85"/>
      <c r="J17" s="86"/>
      <c r="K17" s="108"/>
      <c r="L17" s="17"/>
      <c r="M17" s="64"/>
      <c r="N17" s="65"/>
    </row>
    <row r="18" spans="2:14" ht="18" customHeight="1" x14ac:dyDescent="0.2">
      <c r="B18" s="9"/>
      <c r="C18" s="90"/>
      <c r="D18" s="91"/>
      <c r="E18" s="90"/>
      <c r="F18" s="91"/>
      <c r="G18" s="90"/>
      <c r="H18" s="91"/>
      <c r="I18" s="90"/>
      <c r="J18" s="92"/>
      <c r="K18" s="108"/>
      <c r="L18" s="17"/>
      <c r="M18" s="64"/>
      <c r="N18" s="65"/>
    </row>
    <row r="19" spans="2:14" ht="18" customHeight="1" x14ac:dyDescent="0.2">
      <c r="B19" s="6"/>
      <c r="C19" s="74"/>
      <c r="D19" s="75"/>
      <c r="E19" s="74"/>
      <c r="F19" s="75"/>
      <c r="G19" s="74"/>
      <c r="H19" s="75"/>
      <c r="I19" s="85"/>
      <c r="J19" s="86"/>
      <c r="K19" s="11"/>
      <c r="L19" s="17"/>
      <c r="M19" s="64"/>
      <c r="N19" s="65"/>
    </row>
    <row r="20" spans="2:14" ht="18" customHeight="1" x14ac:dyDescent="0.2">
      <c r="B20" s="8"/>
      <c r="C20" s="72"/>
      <c r="D20" s="73"/>
      <c r="E20" s="72"/>
      <c r="F20" s="73"/>
      <c r="G20" s="72"/>
      <c r="H20" s="73"/>
      <c r="I20" s="72"/>
      <c r="J20" s="87"/>
      <c r="K20" s="11"/>
      <c r="L20" s="17"/>
      <c r="M20" s="64"/>
      <c r="N20" s="65"/>
    </row>
    <row r="21" spans="2:14" ht="18" customHeight="1" x14ac:dyDescent="0.2">
      <c r="B21" s="6"/>
      <c r="C21" s="74"/>
      <c r="D21" s="75"/>
      <c r="E21" s="74"/>
      <c r="F21" s="75"/>
      <c r="G21" s="74"/>
      <c r="H21" s="75"/>
      <c r="I21" s="88"/>
      <c r="J21" s="89"/>
      <c r="K21" s="13"/>
      <c r="L21" s="19"/>
      <c r="M21" s="68"/>
      <c r="N21" s="69"/>
    </row>
    <row r="22" spans="2:14" ht="18" customHeight="1" x14ac:dyDescent="0.2">
      <c r="B22" s="8"/>
      <c r="C22" s="72"/>
      <c r="D22" s="73"/>
      <c r="E22" s="72"/>
      <c r="F22" s="73"/>
      <c r="G22" s="72"/>
      <c r="H22" s="73"/>
      <c r="I22" s="72"/>
      <c r="J22" s="87"/>
      <c r="K22" s="107" t="s">
        <v>15</v>
      </c>
      <c r="L22" s="16"/>
      <c r="M22" s="70"/>
      <c r="N22" s="71"/>
    </row>
    <row r="23" spans="2:14" ht="18" customHeight="1" x14ac:dyDescent="0.2">
      <c r="B23" s="6"/>
      <c r="C23" s="74"/>
      <c r="D23" s="75"/>
      <c r="E23" s="74"/>
      <c r="F23" s="75"/>
      <c r="G23" s="74"/>
      <c r="H23" s="75"/>
      <c r="I23" s="85"/>
      <c r="J23" s="86"/>
      <c r="K23" s="108"/>
      <c r="L23" s="17"/>
      <c r="M23" s="64"/>
      <c r="N23" s="65"/>
    </row>
    <row r="24" spans="2:14" ht="18" customHeight="1" x14ac:dyDescent="0.2">
      <c r="B24" s="8"/>
      <c r="C24" s="72"/>
      <c r="D24" s="73"/>
      <c r="E24" s="72"/>
      <c r="F24" s="73"/>
      <c r="G24" s="72"/>
      <c r="H24" s="73"/>
      <c r="I24" s="72"/>
      <c r="J24" s="87"/>
      <c r="K24" s="108"/>
      <c r="L24" s="17"/>
      <c r="M24" s="64"/>
      <c r="N24" s="65"/>
    </row>
    <row r="25" spans="2:14" ht="18" customHeight="1" x14ac:dyDescent="0.2">
      <c r="B25" s="6"/>
      <c r="C25" s="74"/>
      <c r="D25" s="75"/>
      <c r="E25" s="74"/>
      <c r="F25" s="75"/>
      <c r="G25" s="74"/>
      <c r="H25" s="75"/>
      <c r="I25" s="85"/>
      <c r="J25" s="86"/>
      <c r="K25" s="108"/>
      <c r="L25" s="17"/>
      <c r="M25" s="64"/>
      <c r="N25" s="65"/>
    </row>
    <row r="26" spans="2:14" ht="18" customHeight="1" x14ac:dyDescent="0.2">
      <c r="B26" s="8"/>
      <c r="C26" s="72"/>
      <c r="D26" s="73"/>
      <c r="E26" s="72"/>
      <c r="F26" s="73"/>
      <c r="G26" s="72"/>
      <c r="H26" s="73"/>
      <c r="I26" s="72"/>
      <c r="J26" s="87"/>
      <c r="K26" s="11"/>
      <c r="L26" s="17"/>
      <c r="M26" s="64"/>
      <c r="N26" s="65"/>
    </row>
    <row r="27" spans="2:14" ht="18" customHeight="1" x14ac:dyDescent="0.2">
      <c r="B27" s="6"/>
      <c r="C27" s="74"/>
      <c r="D27" s="75"/>
      <c r="E27" s="74"/>
      <c r="F27" s="75"/>
      <c r="G27" s="74"/>
      <c r="H27" s="75"/>
      <c r="I27" s="85"/>
      <c r="J27" s="86"/>
      <c r="K27" s="13"/>
      <c r="L27" s="19"/>
      <c r="M27" s="68"/>
      <c r="N27" s="69"/>
    </row>
    <row r="28" spans="2:14" ht="18" customHeight="1" x14ac:dyDescent="0.2">
      <c r="B28" s="8"/>
      <c r="C28" s="72"/>
      <c r="D28" s="73"/>
      <c r="E28" s="72"/>
      <c r="F28" s="73"/>
      <c r="G28" s="72"/>
      <c r="H28" s="73"/>
      <c r="I28" s="72"/>
      <c r="J28" s="87"/>
      <c r="K28" s="93" t="s">
        <v>16</v>
      </c>
      <c r="L28" s="16"/>
      <c r="M28" s="70"/>
      <c r="N28" s="71"/>
    </row>
    <row r="29" spans="2:14" ht="18" customHeight="1" x14ac:dyDescent="0.2">
      <c r="B29" s="6"/>
      <c r="C29" s="74"/>
      <c r="D29" s="75"/>
      <c r="E29" s="74"/>
      <c r="F29" s="75"/>
      <c r="G29" s="74"/>
      <c r="H29" s="75"/>
      <c r="I29" s="74"/>
      <c r="J29" s="80"/>
      <c r="K29" s="94"/>
      <c r="L29" s="17"/>
      <c r="M29" s="64"/>
      <c r="N29" s="65"/>
    </row>
    <row r="30" spans="2:14" ht="18" customHeight="1" x14ac:dyDescent="0.2">
      <c r="B30" s="8"/>
      <c r="C30" s="72"/>
      <c r="D30" s="73"/>
      <c r="E30" s="72"/>
      <c r="F30" s="73"/>
      <c r="G30" s="72"/>
      <c r="H30" s="73"/>
      <c r="I30" s="78"/>
      <c r="J30" s="79"/>
      <c r="K30" s="94"/>
      <c r="L30" s="17"/>
      <c r="M30" s="64"/>
      <c r="N30" s="65"/>
    </row>
    <row r="31" spans="2:14" ht="18" customHeight="1" x14ac:dyDescent="0.2">
      <c r="B31" s="6"/>
      <c r="C31" s="74"/>
      <c r="D31" s="75"/>
      <c r="E31" s="74"/>
      <c r="F31" s="75"/>
      <c r="G31" s="74"/>
      <c r="H31" s="75"/>
      <c r="I31" s="74"/>
      <c r="J31" s="80"/>
      <c r="K31" s="14"/>
      <c r="L31" s="17"/>
      <c r="M31" s="64"/>
      <c r="N31" s="65"/>
    </row>
    <row r="32" spans="2:14" ht="18" customHeight="1" x14ac:dyDescent="0.2">
      <c r="B32" s="8"/>
      <c r="C32" s="72"/>
      <c r="D32" s="73"/>
      <c r="E32" s="72"/>
      <c r="F32" s="73"/>
      <c r="G32" s="72"/>
      <c r="H32" s="73"/>
      <c r="I32" s="81"/>
      <c r="J32" s="82"/>
      <c r="K32" s="14"/>
      <c r="L32" s="17"/>
      <c r="M32" s="64"/>
      <c r="N32" s="65"/>
    </row>
    <row r="33" spans="2:14" ht="18" customHeight="1" x14ac:dyDescent="0.2">
      <c r="B33" s="7"/>
      <c r="C33" s="76"/>
      <c r="D33" s="77"/>
      <c r="E33" s="76"/>
      <c r="F33" s="77"/>
      <c r="G33" s="76"/>
      <c r="H33" s="77"/>
      <c r="I33" s="83"/>
      <c r="J33" s="84"/>
      <c r="K33" s="15"/>
      <c r="L33" s="20"/>
      <c r="M33" s="66"/>
      <c r="N33" s="67"/>
    </row>
  </sheetData>
  <mergeCells count="122">
    <mergeCell ref="M10:N10"/>
    <mergeCell ref="B11:J12"/>
    <mergeCell ref="M11:N11"/>
    <mergeCell ref="M12:N12"/>
    <mergeCell ref="C13:D13"/>
    <mergeCell ref="E13:F13"/>
    <mergeCell ref="G13:H13"/>
    <mergeCell ref="I13:J13"/>
    <mergeCell ref="M13:N13"/>
    <mergeCell ref="B2:B10"/>
    <mergeCell ref="K2:M3"/>
    <mergeCell ref="K4:K6"/>
    <mergeCell ref="M4:N4"/>
    <mergeCell ref="M5:N5"/>
    <mergeCell ref="M6:N6"/>
    <mergeCell ref="M7:N7"/>
    <mergeCell ref="M8:N8"/>
    <mergeCell ref="M9:N9"/>
    <mergeCell ref="K10:K12"/>
    <mergeCell ref="C14:D14"/>
    <mergeCell ref="E14:F14"/>
    <mergeCell ref="G14:H14"/>
    <mergeCell ref="I14:J14"/>
    <mergeCell ref="M14:N14"/>
    <mergeCell ref="C15:D15"/>
    <mergeCell ref="E15:F15"/>
    <mergeCell ref="G15:H15"/>
    <mergeCell ref="I15:J15"/>
    <mergeCell ref="M15:N15"/>
    <mergeCell ref="M17:N17"/>
    <mergeCell ref="C18:D18"/>
    <mergeCell ref="E18:F18"/>
    <mergeCell ref="G18:H18"/>
    <mergeCell ref="I18:J18"/>
    <mergeCell ref="M18:N18"/>
    <mergeCell ref="C16:D16"/>
    <mergeCell ref="E16:F16"/>
    <mergeCell ref="G16:H16"/>
    <mergeCell ref="I16:J16"/>
    <mergeCell ref="K16:K18"/>
    <mergeCell ref="M16:N16"/>
    <mergeCell ref="C17:D17"/>
    <mergeCell ref="E17:F17"/>
    <mergeCell ref="G17:H17"/>
    <mergeCell ref="I17:J17"/>
    <mergeCell ref="C19:D19"/>
    <mergeCell ref="E19:F19"/>
    <mergeCell ref="G19:H19"/>
    <mergeCell ref="I19:J19"/>
    <mergeCell ref="M19:N19"/>
    <mergeCell ref="C20:D20"/>
    <mergeCell ref="E20:F20"/>
    <mergeCell ref="G20:H20"/>
    <mergeCell ref="I20:J20"/>
    <mergeCell ref="M20:N20"/>
    <mergeCell ref="M22:N22"/>
    <mergeCell ref="C23:D23"/>
    <mergeCell ref="E23:F23"/>
    <mergeCell ref="G23:H23"/>
    <mergeCell ref="I23:J23"/>
    <mergeCell ref="M23:N23"/>
    <mergeCell ref="C21:D21"/>
    <mergeCell ref="E21:F21"/>
    <mergeCell ref="G21:H21"/>
    <mergeCell ref="I21:J21"/>
    <mergeCell ref="M21:N21"/>
    <mergeCell ref="C22:D22"/>
    <mergeCell ref="E22:F22"/>
    <mergeCell ref="G22:H22"/>
    <mergeCell ref="I22:J22"/>
    <mergeCell ref="K22:K25"/>
    <mergeCell ref="C24:D24"/>
    <mergeCell ref="E24:F24"/>
    <mergeCell ref="G24:H24"/>
    <mergeCell ref="I24:J24"/>
    <mergeCell ref="M24:N24"/>
    <mergeCell ref="C25:D25"/>
    <mergeCell ref="E25:F25"/>
    <mergeCell ref="G25:H25"/>
    <mergeCell ref="I25:J25"/>
    <mergeCell ref="M25:N25"/>
    <mergeCell ref="C26:D26"/>
    <mergeCell ref="E26:F26"/>
    <mergeCell ref="G26:H26"/>
    <mergeCell ref="I26:J26"/>
    <mergeCell ref="M26:N26"/>
    <mergeCell ref="C27:D27"/>
    <mergeCell ref="E27:F27"/>
    <mergeCell ref="G27:H27"/>
    <mergeCell ref="I27:J27"/>
    <mergeCell ref="M27:N27"/>
    <mergeCell ref="M29:N29"/>
    <mergeCell ref="C30:D30"/>
    <mergeCell ref="E30:F30"/>
    <mergeCell ref="G30:H30"/>
    <mergeCell ref="I30:J30"/>
    <mergeCell ref="M30:N30"/>
    <mergeCell ref="C28:D28"/>
    <mergeCell ref="E28:F28"/>
    <mergeCell ref="G28:H28"/>
    <mergeCell ref="I28:J28"/>
    <mergeCell ref="K28:K30"/>
    <mergeCell ref="M28:N28"/>
    <mergeCell ref="C29:D29"/>
    <mergeCell ref="E29:F29"/>
    <mergeCell ref="G29:H29"/>
    <mergeCell ref="I29:J29"/>
    <mergeCell ref="C33:D33"/>
    <mergeCell ref="E33:F33"/>
    <mergeCell ref="G33:H33"/>
    <mergeCell ref="I33:J33"/>
    <mergeCell ref="M33:N33"/>
    <mergeCell ref="C31:D31"/>
    <mergeCell ref="E31:F31"/>
    <mergeCell ref="G31:H31"/>
    <mergeCell ref="I31:J31"/>
    <mergeCell ref="M31:N31"/>
    <mergeCell ref="C32:D32"/>
    <mergeCell ref="E32:F32"/>
    <mergeCell ref="G32:H32"/>
    <mergeCell ref="I32:J32"/>
    <mergeCell ref="M32:N32"/>
  </mergeCells>
  <conditionalFormatting sqref="C4:H4">
    <cfRule type="expression" dxfId="29" priority="3" stopIfTrue="1">
      <formula>DAY(C4)&gt;8</formula>
    </cfRule>
  </conditionalFormatting>
  <conditionalFormatting sqref="C8:I10">
    <cfRule type="expression" dxfId="28" priority="2" stopIfTrue="1">
      <formula>AND(DAY(C8)&gt;=1,DAY(C8)&lt;=15)</formula>
    </cfRule>
  </conditionalFormatting>
  <conditionalFormatting sqref="C4:I9">
    <cfRule type="expression" dxfId="27" priority="4">
      <formula>VLOOKUP(DAY(C4),DíasDeTareas,1,FALSE)=DAY(C4)</formula>
    </cfRule>
  </conditionalFormatting>
  <conditionalFormatting sqref="B14:J33">
    <cfRule type="expression" dxfId="26" priority="1">
      <formula>B14&lt;&gt;""</formula>
    </cfRule>
  </conditionalFormatting>
  <printOptions horizontalCentered="1"/>
  <pageMargins left="0.5" right="0.5" top="0.5" bottom="0.5" header="0.3" footer="0.3"/>
  <pageSetup scale="6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O33"/>
  <sheetViews>
    <sheetView showGridLines="0" topLeftCell="A13" zoomScaleNormal="100" zoomScalePageLayoutView="84" workbookViewId="0">
      <selection activeCell="B29" sqref="B29:J32"/>
    </sheetView>
  </sheetViews>
  <sheetFormatPr baseColWidth="10" defaultColWidth="8.7109375" defaultRowHeight="16.5" customHeight="1" x14ac:dyDescent="0.2"/>
  <cols>
    <col min="1" max="1" width="2.28515625" style="1" customWidth="1"/>
    <col min="2" max="2" width="12.7109375" style="1" customWidth="1"/>
    <col min="3" max="10" width="6.7109375" style="1" customWidth="1"/>
    <col min="11" max="11" width="7.28515625" style="1" customWidth="1"/>
    <col min="12" max="12" width="3.85546875" customWidth="1"/>
    <col min="13" max="13" width="51.42578125" style="1" customWidth="1"/>
    <col min="14" max="14" width="10.7109375" style="1" customWidth="1"/>
    <col min="15" max="15" width="2.28515625" customWidth="1"/>
    <col min="16" max="22" width="8.85546875" customWidth="1"/>
    <col min="42" max="16384" width="8.7109375" style="1"/>
  </cols>
  <sheetData>
    <row r="1" spans="1:14" ht="11.25" customHeight="1" x14ac:dyDescent="0.2"/>
    <row r="2" spans="1:14" ht="18" customHeight="1" x14ac:dyDescent="0.2">
      <c r="A2" s="4"/>
      <c r="B2" s="58" t="s">
        <v>21</v>
      </c>
      <c r="C2" s="21"/>
      <c r="D2" s="21"/>
      <c r="E2" s="21"/>
      <c r="F2" s="21"/>
      <c r="G2" s="21"/>
      <c r="H2" s="21"/>
      <c r="I2" s="21"/>
      <c r="J2" s="22"/>
      <c r="K2" s="98" t="s">
        <v>3</v>
      </c>
      <c r="L2" s="99">
        <v>2013</v>
      </c>
      <c r="M2" s="99"/>
      <c r="N2" s="25"/>
    </row>
    <row r="3" spans="1:14" ht="21" customHeight="1" x14ac:dyDescent="0.2">
      <c r="A3" s="4"/>
      <c r="B3" s="59"/>
      <c r="C3" s="2" t="s">
        <v>5</v>
      </c>
      <c r="D3" s="2" t="s">
        <v>1</v>
      </c>
      <c r="E3" s="2" t="s">
        <v>6</v>
      </c>
      <c r="F3" s="2" t="s">
        <v>7</v>
      </c>
      <c r="G3" s="2" t="s">
        <v>8</v>
      </c>
      <c r="H3" s="2" t="s">
        <v>0</v>
      </c>
      <c r="I3" s="2" t="s">
        <v>9</v>
      </c>
      <c r="J3" s="5"/>
      <c r="K3" s="100"/>
      <c r="L3" s="101"/>
      <c r="M3" s="101"/>
      <c r="N3" s="26"/>
    </row>
    <row r="4" spans="1:14" ht="18" customHeight="1" x14ac:dyDescent="0.2">
      <c r="A4" s="4"/>
      <c r="B4" s="59"/>
      <c r="C4" s="10">
        <f>IF(DAY(JulDom1)=1,JulDom1-6,JulDom1+1)</f>
        <v>43276</v>
      </c>
      <c r="D4" s="10">
        <f>IF(DAY(JulDom1)=1,JulDom1-5,JulDom1+2)</f>
        <v>43277</v>
      </c>
      <c r="E4" s="10">
        <f>IF(DAY(JulDom1)=1,JulDom1-4,JulDom1+3)</f>
        <v>43278</v>
      </c>
      <c r="F4" s="10">
        <f>IF(DAY(JulDom1)=1,JulDom1-3,JulDom1+4)</f>
        <v>43279</v>
      </c>
      <c r="G4" s="10">
        <f>IF(DAY(JulDom1)=1,JulDom1-2,JulDom1+5)</f>
        <v>43280</v>
      </c>
      <c r="H4" s="10">
        <f>IF(DAY(JulDom1)=1,JulDom1-1,JulDom1+6)</f>
        <v>43281</v>
      </c>
      <c r="I4" s="10">
        <f>IF(DAY(JulDom1)=1,JulDom1,JulDom1+7)</f>
        <v>43282</v>
      </c>
      <c r="J4" s="5"/>
      <c r="K4" s="102" t="s">
        <v>12</v>
      </c>
      <c r="L4" s="16"/>
      <c r="M4" s="103"/>
      <c r="N4" s="104"/>
    </row>
    <row r="5" spans="1:14" ht="18" customHeight="1" x14ac:dyDescent="0.2">
      <c r="A5" s="4"/>
      <c r="B5" s="59"/>
      <c r="C5" s="10">
        <f>IF(DAY(JulDom1)=1,JulDom1+1,JulDom1+8)</f>
        <v>43283</v>
      </c>
      <c r="D5" s="10">
        <f>IF(DAY(JulDom1)=1,JulDom1+2,JulDom1+9)</f>
        <v>43284</v>
      </c>
      <c r="E5" s="10">
        <f>IF(DAY(JulDom1)=1,JulDom1+3,JulDom1+10)</f>
        <v>43285</v>
      </c>
      <c r="F5" s="10">
        <f>IF(DAY(JulDom1)=1,JulDom1+4,JulDom1+11)</f>
        <v>43286</v>
      </c>
      <c r="G5" s="10">
        <f>IF(DAY(JulDom1)=1,JulDom1+5,JulDom1+12)</f>
        <v>43287</v>
      </c>
      <c r="H5" s="10">
        <f>IF(DAY(JulDom1)=1,JulDom1+6,JulDom1+13)</f>
        <v>43288</v>
      </c>
      <c r="I5" s="10">
        <f>IF(DAY(JulDom1)=1,JulDom1+7,JulDom1+14)</f>
        <v>43289</v>
      </c>
      <c r="J5" s="5"/>
      <c r="K5" s="94"/>
      <c r="L5" s="17"/>
      <c r="M5" s="64"/>
      <c r="N5" s="65"/>
    </row>
    <row r="6" spans="1:14" ht="18" customHeight="1" x14ac:dyDescent="0.2">
      <c r="A6" s="4"/>
      <c r="B6" s="59"/>
      <c r="C6" s="10">
        <f>IF(DAY(JulDom1)=1,JulDom1+8,JulDom1+15)</f>
        <v>43290</v>
      </c>
      <c r="D6" s="10">
        <f>IF(DAY(JulDom1)=1,JulDom1+9,JulDom1+16)</f>
        <v>43291</v>
      </c>
      <c r="E6" s="10">
        <f>IF(DAY(JulDom1)=1,JulDom1+10,JulDom1+17)</f>
        <v>43292</v>
      </c>
      <c r="F6" s="10">
        <f>IF(DAY(JulDom1)=1,JulDom1+11,JulDom1+18)</f>
        <v>43293</v>
      </c>
      <c r="G6" s="10">
        <f>IF(DAY(JulDom1)=1,JulDom1+12,JulDom1+19)</f>
        <v>43294</v>
      </c>
      <c r="H6" s="10">
        <f>IF(DAY(JulDom1)=1,JulDom1+13,JulDom1+20)</f>
        <v>43295</v>
      </c>
      <c r="I6" s="10">
        <f>IF(DAY(JulDom1)=1,JulDom1+14,JulDom1+21)</f>
        <v>43296</v>
      </c>
      <c r="J6" s="5"/>
      <c r="K6" s="94"/>
      <c r="L6" s="17"/>
      <c r="M6" s="64"/>
      <c r="N6" s="65"/>
    </row>
    <row r="7" spans="1:14" ht="18" customHeight="1" x14ac:dyDescent="0.2">
      <c r="A7" s="4"/>
      <c r="B7" s="59"/>
      <c r="C7" s="10">
        <f>IF(DAY(JulDom1)=1,JulDom1+15,JulDom1+22)</f>
        <v>43297</v>
      </c>
      <c r="D7" s="10">
        <f>IF(DAY(JulDom1)=1,JulDom1+16,JulDom1+23)</f>
        <v>43298</v>
      </c>
      <c r="E7" s="10">
        <f>IF(DAY(JulDom1)=1,JulDom1+17,JulDom1+24)</f>
        <v>43299</v>
      </c>
      <c r="F7" s="10">
        <f>IF(DAY(JulDom1)=1,JulDom1+18,JulDom1+25)</f>
        <v>43300</v>
      </c>
      <c r="G7" s="10">
        <f>IF(DAY(JulDom1)=1,JulDom1+19,JulDom1+26)</f>
        <v>43301</v>
      </c>
      <c r="H7" s="10">
        <f>IF(DAY(JulDom1)=1,JulDom1+20,JulDom1+27)</f>
        <v>43302</v>
      </c>
      <c r="I7" s="10">
        <f>IF(DAY(JulDom1)=1,JulDom1+21,JulDom1+28)</f>
        <v>43303</v>
      </c>
      <c r="J7" s="5"/>
      <c r="K7" s="11"/>
      <c r="L7" s="17"/>
      <c r="M7" s="64"/>
      <c r="N7" s="65"/>
    </row>
    <row r="8" spans="1:14" ht="18.75" customHeight="1" x14ac:dyDescent="0.2">
      <c r="A8" s="4"/>
      <c r="B8" s="59"/>
      <c r="C8" s="10">
        <f>IF(DAY(JulDom1)=1,JulDom1+22,JulDom1+29)</f>
        <v>43304</v>
      </c>
      <c r="D8" s="10">
        <f>IF(DAY(JulDom1)=1,JulDom1+23,JulDom1+30)</f>
        <v>43305</v>
      </c>
      <c r="E8" s="10">
        <f>IF(DAY(JulDom1)=1,JulDom1+24,JulDom1+31)</f>
        <v>43306</v>
      </c>
      <c r="F8" s="10">
        <f>IF(DAY(JulDom1)=1,JulDom1+25,JulDom1+32)</f>
        <v>43307</v>
      </c>
      <c r="G8" s="10">
        <f>IF(DAY(JulDom1)=1,JulDom1+26,JulDom1+33)</f>
        <v>43308</v>
      </c>
      <c r="H8" s="10">
        <f>IF(DAY(JulDom1)=1,JulDom1+27,JulDom1+34)</f>
        <v>43309</v>
      </c>
      <c r="I8" s="10">
        <f>IF(DAY(JulDom1)=1,JulDom1+28,JulDom1+35)</f>
        <v>43310</v>
      </c>
      <c r="J8" s="5"/>
      <c r="K8" s="11"/>
      <c r="L8" s="17"/>
      <c r="M8" s="64"/>
      <c r="N8" s="65"/>
    </row>
    <row r="9" spans="1:14" ht="18" customHeight="1" x14ac:dyDescent="0.2">
      <c r="A9" s="4"/>
      <c r="B9" s="59"/>
      <c r="C9" s="10">
        <f>IF(DAY(JulDom1)=1,JulDom1+29,JulDom1+36)</f>
        <v>43311</v>
      </c>
      <c r="D9" s="10">
        <f>IF(DAY(JulDom1)=1,JulDom1+30,JulDom1+37)</f>
        <v>43312</v>
      </c>
      <c r="E9" s="10">
        <f>IF(DAY(JulDom1)=1,JulDom1+31,JulDom1+38)</f>
        <v>43313</v>
      </c>
      <c r="F9" s="10">
        <f>IF(DAY(JulDom1)=1,JulDom1+32,JulDom1+39)</f>
        <v>43314</v>
      </c>
      <c r="G9" s="10">
        <f>IF(DAY(JulDom1)=1,JulDom1+33,JulDom1+40)</f>
        <v>43315</v>
      </c>
      <c r="H9" s="10">
        <f>IF(DAY(JulDom1)=1,JulDom1+34,JulDom1+41)</f>
        <v>43316</v>
      </c>
      <c r="I9" s="10">
        <f>IF(DAY(JulDom1)=1,JulDom1+35,JulDom1+42)</f>
        <v>43317</v>
      </c>
      <c r="J9" s="5"/>
      <c r="K9" s="12"/>
      <c r="L9" s="18"/>
      <c r="M9" s="68"/>
      <c r="N9" s="69"/>
    </row>
    <row r="10" spans="1:14" ht="18" customHeight="1" x14ac:dyDescent="0.2">
      <c r="A10" s="4"/>
      <c r="B10" s="60"/>
      <c r="C10" s="23"/>
      <c r="D10" s="23"/>
      <c r="E10" s="23"/>
      <c r="F10" s="23"/>
      <c r="G10" s="23"/>
      <c r="H10" s="23"/>
      <c r="I10" s="23"/>
      <c r="J10" s="24"/>
      <c r="K10" s="93" t="s">
        <v>13</v>
      </c>
      <c r="L10" s="16"/>
      <c r="M10" s="70"/>
      <c r="N10" s="71"/>
    </row>
    <row r="11" spans="1:14" ht="18" customHeight="1" x14ac:dyDescent="0.2">
      <c r="A11" s="4"/>
      <c r="B11" s="61" t="s">
        <v>11</v>
      </c>
      <c r="C11" s="62"/>
      <c r="D11" s="62"/>
      <c r="E11" s="62"/>
      <c r="F11" s="62"/>
      <c r="G11" s="62"/>
      <c r="H11" s="62"/>
      <c r="I11" s="62"/>
      <c r="J11" s="63"/>
      <c r="K11" s="94"/>
      <c r="L11" s="17"/>
      <c r="M11" s="64"/>
      <c r="N11" s="65"/>
    </row>
    <row r="12" spans="1:14" ht="18" customHeight="1" x14ac:dyDescent="0.2">
      <c r="A12" s="4"/>
      <c r="B12" s="61"/>
      <c r="C12" s="62"/>
      <c r="D12" s="62"/>
      <c r="E12" s="62"/>
      <c r="F12" s="62"/>
      <c r="G12" s="62"/>
      <c r="H12" s="62"/>
      <c r="I12" s="62"/>
      <c r="J12" s="63"/>
      <c r="K12" s="94"/>
      <c r="L12" s="17"/>
      <c r="M12" s="64"/>
      <c r="N12" s="65"/>
    </row>
    <row r="13" spans="1:14" ht="18" customHeight="1" x14ac:dyDescent="0.2">
      <c r="B13" s="3" t="s">
        <v>12</v>
      </c>
      <c r="C13" s="95" t="s">
        <v>13</v>
      </c>
      <c r="D13" s="97"/>
      <c r="E13" s="95" t="s">
        <v>14</v>
      </c>
      <c r="F13" s="97"/>
      <c r="G13" s="95" t="s">
        <v>15</v>
      </c>
      <c r="H13" s="97"/>
      <c r="I13" s="95" t="s">
        <v>16</v>
      </c>
      <c r="J13" s="96"/>
      <c r="K13" s="11"/>
      <c r="L13" s="17"/>
      <c r="M13" s="64"/>
      <c r="N13" s="65"/>
    </row>
    <row r="14" spans="1:14" ht="18" customHeight="1" x14ac:dyDescent="0.2">
      <c r="B14" s="8"/>
      <c r="C14" s="72"/>
      <c r="D14" s="73"/>
      <c r="E14" s="72"/>
      <c r="F14" s="73"/>
      <c r="G14" s="72"/>
      <c r="H14" s="73"/>
      <c r="I14" s="72"/>
      <c r="J14" s="87"/>
      <c r="K14" s="11"/>
      <c r="L14" s="17"/>
      <c r="M14" s="64"/>
      <c r="N14" s="65"/>
    </row>
    <row r="15" spans="1:14" ht="18" customHeight="1" x14ac:dyDescent="0.2">
      <c r="B15" s="6"/>
      <c r="C15" s="74"/>
      <c r="D15" s="75"/>
      <c r="E15" s="74"/>
      <c r="F15" s="75"/>
      <c r="G15" s="74"/>
      <c r="H15" s="75"/>
      <c r="I15" s="85"/>
      <c r="J15" s="86"/>
      <c r="K15" s="13"/>
      <c r="L15" s="19"/>
      <c r="M15" s="68"/>
      <c r="N15" s="69"/>
    </row>
    <row r="16" spans="1:14" ht="18" customHeight="1" x14ac:dyDescent="0.2">
      <c r="B16" s="8"/>
      <c r="C16" s="72"/>
      <c r="D16" s="73"/>
      <c r="E16" s="72"/>
      <c r="F16" s="73"/>
      <c r="G16" s="72"/>
      <c r="H16" s="73"/>
      <c r="I16" s="81"/>
      <c r="J16" s="82"/>
      <c r="K16" s="107" t="s">
        <v>14</v>
      </c>
      <c r="L16" s="16"/>
      <c r="M16" s="70"/>
      <c r="N16" s="71"/>
    </row>
    <row r="17" spans="2:14" ht="18" customHeight="1" x14ac:dyDescent="0.2">
      <c r="B17" s="6"/>
      <c r="C17" s="74"/>
      <c r="D17" s="75"/>
      <c r="E17" s="74"/>
      <c r="F17" s="75"/>
      <c r="G17" s="74"/>
      <c r="H17" s="75"/>
      <c r="I17" s="85"/>
      <c r="J17" s="86"/>
      <c r="K17" s="108"/>
      <c r="L17" s="17"/>
      <c r="M17" s="64"/>
      <c r="N17" s="65"/>
    </row>
    <row r="18" spans="2:14" ht="18" customHeight="1" x14ac:dyDescent="0.2">
      <c r="B18" s="9"/>
      <c r="C18" s="90"/>
      <c r="D18" s="91"/>
      <c r="E18" s="90"/>
      <c r="F18" s="91"/>
      <c r="G18" s="90"/>
      <c r="H18" s="91"/>
      <c r="I18" s="90"/>
      <c r="J18" s="92"/>
      <c r="K18" s="108"/>
      <c r="L18" s="17"/>
      <c r="M18" s="64"/>
      <c r="N18" s="65"/>
    </row>
    <row r="19" spans="2:14" ht="18" customHeight="1" x14ac:dyDescent="0.2">
      <c r="B19" s="6"/>
      <c r="C19" s="74"/>
      <c r="D19" s="75"/>
      <c r="E19" s="74"/>
      <c r="F19" s="75"/>
      <c r="G19" s="74"/>
      <c r="H19" s="75"/>
      <c r="I19" s="85"/>
      <c r="J19" s="86"/>
      <c r="K19" s="11"/>
      <c r="L19" s="17"/>
      <c r="M19" s="64"/>
      <c r="N19" s="65"/>
    </row>
    <row r="20" spans="2:14" ht="18" customHeight="1" x14ac:dyDescent="0.2">
      <c r="B20" s="8"/>
      <c r="C20" s="72"/>
      <c r="D20" s="73"/>
      <c r="E20" s="72"/>
      <c r="F20" s="73"/>
      <c r="G20" s="72"/>
      <c r="H20" s="73"/>
      <c r="I20" s="72"/>
      <c r="J20" s="87"/>
      <c r="K20" s="11"/>
      <c r="L20" s="17"/>
      <c r="M20" s="64"/>
      <c r="N20" s="65"/>
    </row>
    <row r="21" spans="2:14" ht="18" customHeight="1" x14ac:dyDescent="0.2">
      <c r="B21" s="6"/>
      <c r="C21" s="74"/>
      <c r="D21" s="75"/>
      <c r="E21" s="74"/>
      <c r="F21" s="75"/>
      <c r="G21" s="74"/>
      <c r="H21" s="75"/>
      <c r="I21" s="88"/>
      <c r="J21" s="89"/>
      <c r="K21" s="13"/>
      <c r="L21" s="19"/>
      <c r="M21" s="68"/>
      <c r="N21" s="69"/>
    </row>
    <row r="22" spans="2:14" ht="18" customHeight="1" x14ac:dyDescent="0.2">
      <c r="B22" s="8"/>
      <c r="C22" s="72"/>
      <c r="D22" s="73"/>
      <c r="E22" s="72"/>
      <c r="F22" s="73"/>
      <c r="G22" s="72"/>
      <c r="H22" s="73"/>
      <c r="I22" s="72"/>
      <c r="J22" s="87"/>
      <c r="K22" s="107" t="s">
        <v>15</v>
      </c>
      <c r="L22" s="16"/>
      <c r="M22" s="70"/>
      <c r="N22" s="71"/>
    </row>
    <row r="23" spans="2:14" ht="18" customHeight="1" x14ac:dyDescent="0.2">
      <c r="B23" s="6"/>
      <c r="C23" s="74"/>
      <c r="D23" s="75"/>
      <c r="E23" s="74"/>
      <c r="F23" s="75"/>
      <c r="G23" s="74"/>
      <c r="H23" s="75"/>
      <c r="I23" s="85"/>
      <c r="J23" s="86"/>
      <c r="K23" s="108"/>
      <c r="L23" s="17"/>
      <c r="M23" s="64"/>
      <c r="N23" s="65"/>
    </row>
    <row r="24" spans="2:14" ht="18" customHeight="1" x14ac:dyDescent="0.2">
      <c r="B24" s="8"/>
      <c r="C24" s="72"/>
      <c r="D24" s="73"/>
      <c r="E24" s="72"/>
      <c r="F24" s="73"/>
      <c r="G24" s="72"/>
      <c r="H24" s="73"/>
      <c r="I24" s="72"/>
      <c r="J24" s="87"/>
      <c r="K24" s="108"/>
      <c r="L24" s="17"/>
      <c r="M24" s="64"/>
      <c r="N24" s="65"/>
    </row>
    <row r="25" spans="2:14" ht="18" customHeight="1" x14ac:dyDescent="0.2">
      <c r="B25" s="6"/>
      <c r="C25" s="74"/>
      <c r="D25" s="75"/>
      <c r="E25" s="74"/>
      <c r="F25" s="75"/>
      <c r="G25" s="74"/>
      <c r="H25" s="75"/>
      <c r="I25" s="85"/>
      <c r="J25" s="86"/>
      <c r="K25" s="108"/>
      <c r="L25" s="17"/>
      <c r="M25" s="64"/>
      <c r="N25" s="65"/>
    </row>
    <row r="26" spans="2:14" ht="18" customHeight="1" x14ac:dyDescent="0.2">
      <c r="B26" s="8"/>
      <c r="C26" s="72"/>
      <c r="D26" s="73"/>
      <c r="E26" s="72"/>
      <c r="F26" s="73"/>
      <c r="G26" s="72"/>
      <c r="H26" s="73"/>
      <c r="I26" s="72"/>
      <c r="J26" s="87"/>
      <c r="K26" s="11"/>
      <c r="L26" s="17"/>
      <c r="M26" s="64"/>
      <c r="N26" s="65"/>
    </row>
    <row r="27" spans="2:14" ht="18" customHeight="1" x14ac:dyDescent="0.2">
      <c r="B27" s="6"/>
      <c r="C27" s="74"/>
      <c r="D27" s="75"/>
      <c r="E27" s="74"/>
      <c r="F27" s="75"/>
      <c r="G27" s="74"/>
      <c r="H27" s="75"/>
      <c r="I27" s="85"/>
      <c r="J27" s="86"/>
      <c r="K27" s="13"/>
      <c r="L27" s="19"/>
      <c r="M27" s="68"/>
      <c r="N27" s="69"/>
    </row>
    <row r="28" spans="2:14" ht="18" customHeight="1" x14ac:dyDescent="0.2">
      <c r="B28" s="8"/>
      <c r="C28" s="72"/>
      <c r="D28" s="73"/>
      <c r="E28" s="72"/>
      <c r="F28" s="73"/>
      <c r="G28" s="72"/>
      <c r="H28" s="73"/>
      <c r="I28" s="72"/>
      <c r="J28" s="87"/>
      <c r="K28" s="93" t="s">
        <v>16</v>
      </c>
      <c r="L28" s="16"/>
      <c r="M28" s="70"/>
      <c r="N28" s="71"/>
    </row>
    <row r="29" spans="2:14" ht="18" customHeight="1" x14ac:dyDescent="0.2">
      <c r="B29" s="6"/>
      <c r="C29" s="74"/>
      <c r="D29" s="75"/>
      <c r="E29" s="74"/>
      <c r="F29" s="75"/>
      <c r="G29" s="74"/>
      <c r="H29" s="75"/>
      <c r="I29" s="74"/>
      <c r="J29" s="80"/>
      <c r="K29" s="94"/>
      <c r="L29" s="17"/>
      <c r="M29" s="64"/>
      <c r="N29" s="65"/>
    </row>
    <row r="30" spans="2:14" ht="18" customHeight="1" x14ac:dyDescent="0.2">
      <c r="B30" s="8"/>
      <c r="C30" s="72"/>
      <c r="D30" s="73"/>
      <c r="E30" s="72"/>
      <c r="F30" s="73"/>
      <c r="G30" s="72"/>
      <c r="H30" s="73"/>
      <c r="I30" s="78"/>
      <c r="J30" s="79"/>
      <c r="K30" s="94"/>
      <c r="L30" s="17"/>
      <c r="M30" s="64"/>
      <c r="N30" s="65"/>
    </row>
    <row r="31" spans="2:14" ht="18" customHeight="1" x14ac:dyDescent="0.2">
      <c r="B31" s="6"/>
      <c r="C31" s="74"/>
      <c r="D31" s="75"/>
      <c r="E31" s="74"/>
      <c r="F31" s="75"/>
      <c r="G31" s="74"/>
      <c r="H31" s="75"/>
      <c r="I31" s="74"/>
      <c r="J31" s="80"/>
      <c r="K31" s="14"/>
      <c r="L31" s="17"/>
      <c r="M31" s="64"/>
      <c r="N31" s="65"/>
    </row>
    <row r="32" spans="2:14" ht="18" customHeight="1" x14ac:dyDescent="0.2">
      <c r="B32" s="8"/>
      <c r="C32" s="72"/>
      <c r="D32" s="73"/>
      <c r="E32" s="72"/>
      <c r="F32" s="73"/>
      <c r="G32" s="72"/>
      <c r="H32" s="73"/>
      <c r="I32" s="81"/>
      <c r="J32" s="82"/>
      <c r="K32" s="14"/>
      <c r="L32" s="17"/>
      <c r="M32" s="64"/>
      <c r="N32" s="65"/>
    </row>
    <row r="33" spans="2:14" ht="18" customHeight="1" x14ac:dyDescent="0.2">
      <c r="B33" s="7"/>
      <c r="C33" s="76"/>
      <c r="D33" s="77"/>
      <c r="E33" s="76"/>
      <c r="F33" s="77"/>
      <c r="G33" s="76"/>
      <c r="H33" s="77"/>
      <c r="I33" s="83"/>
      <c r="J33" s="84"/>
      <c r="K33" s="15"/>
      <c r="L33" s="20"/>
      <c r="M33" s="66"/>
      <c r="N33" s="67"/>
    </row>
  </sheetData>
  <mergeCells count="122">
    <mergeCell ref="M10:N10"/>
    <mergeCell ref="B11:J12"/>
    <mergeCell ref="M11:N11"/>
    <mergeCell ref="M12:N12"/>
    <mergeCell ref="C13:D13"/>
    <mergeCell ref="E13:F13"/>
    <mergeCell ref="G13:H13"/>
    <mergeCell ref="I13:J13"/>
    <mergeCell ref="M13:N13"/>
    <mergeCell ref="B2:B10"/>
    <mergeCell ref="K2:M3"/>
    <mergeCell ref="K4:K6"/>
    <mergeCell ref="M4:N4"/>
    <mergeCell ref="M5:N5"/>
    <mergeCell ref="M6:N6"/>
    <mergeCell ref="M7:N7"/>
    <mergeCell ref="M8:N8"/>
    <mergeCell ref="M9:N9"/>
    <mergeCell ref="K10:K12"/>
    <mergeCell ref="C14:D14"/>
    <mergeCell ref="E14:F14"/>
    <mergeCell ref="G14:H14"/>
    <mergeCell ref="I14:J14"/>
    <mergeCell ref="M14:N14"/>
    <mergeCell ref="C15:D15"/>
    <mergeCell ref="E15:F15"/>
    <mergeCell ref="G15:H15"/>
    <mergeCell ref="I15:J15"/>
    <mergeCell ref="M15:N15"/>
    <mergeCell ref="M17:N17"/>
    <mergeCell ref="C18:D18"/>
    <mergeCell ref="E18:F18"/>
    <mergeCell ref="G18:H18"/>
    <mergeCell ref="I18:J18"/>
    <mergeCell ref="M18:N18"/>
    <mergeCell ref="C16:D16"/>
    <mergeCell ref="E16:F16"/>
    <mergeCell ref="G16:H16"/>
    <mergeCell ref="I16:J16"/>
    <mergeCell ref="K16:K18"/>
    <mergeCell ref="M16:N16"/>
    <mergeCell ref="C17:D17"/>
    <mergeCell ref="E17:F17"/>
    <mergeCell ref="G17:H17"/>
    <mergeCell ref="I17:J17"/>
    <mergeCell ref="C19:D19"/>
    <mergeCell ref="E19:F19"/>
    <mergeCell ref="G19:H19"/>
    <mergeCell ref="I19:J19"/>
    <mergeCell ref="M19:N19"/>
    <mergeCell ref="C20:D20"/>
    <mergeCell ref="E20:F20"/>
    <mergeCell ref="G20:H20"/>
    <mergeCell ref="I20:J20"/>
    <mergeCell ref="M20:N20"/>
    <mergeCell ref="M22:N22"/>
    <mergeCell ref="C23:D23"/>
    <mergeCell ref="E23:F23"/>
    <mergeCell ref="G23:H23"/>
    <mergeCell ref="I23:J23"/>
    <mergeCell ref="M23:N23"/>
    <mergeCell ref="C21:D21"/>
    <mergeCell ref="E21:F21"/>
    <mergeCell ref="G21:H21"/>
    <mergeCell ref="I21:J21"/>
    <mergeCell ref="M21:N21"/>
    <mergeCell ref="C22:D22"/>
    <mergeCell ref="E22:F22"/>
    <mergeCell ref="G22:H22"/>
    <mergeCell ref="I22:J22"/>
    <mergeCell ref="K22:K25"/>
    <mergeCell ref="C24:D24"/>
    <mergeCell ref="E24:F24"/>
    <mergeCell ref="G24:H24"/>
    <mergeCell ref="I24:J24"/>
    <mergeCell ref="M24:N24"/>
    <mergeCell ref="C25:D25"/>
    <mergeCell ref="E25:F25"/>
    <mergeCell ref="G25:H25"/>
    <mergeCell ref="I25:J25"/>
    <mergeCell ref="M25:N25"/>
    <mergeCell ref="C26:D26"/>
    <mergeCell ref="E26:F26"/>
    <mergeCell ref="G26:H26"/>
    <mergeCell ref="I26:J26"/>
    <mergeCell ref="M26:N26"/>
    <mergeCell ref="C27:D27"/>
    <mergeCell ref="E27:F27"/>
    <mergeCell ref="G27:H27"/>
    <mergeCell ref="I27:J27"/>
    <mergeCell ref="M27:N27"/>
    <mergeCell ref="M29:N29"/>
    <mergeCell ref="C30:D30"/>
    <mergeCell ref="E30:F30"/>
    <mergeCell ref="G30:H30"/>
    <mergeCell ref="I30:J30"/>
    <mergeCell ref="M30:N30"/>
    <mergeCell ref="C28:D28"/>
    <mergeCell ref="E28:F28"/>
    <mergeCell ref="G28:H28"/>
    <mergeCell ref="I28:J28"/>
    <mergeCell ref="K28:K30"/>
    <mergeCell ref="M28:N28"/>
    <mergeCell ref="C29:D29"/>
    <mergeCell ref="E29:F29"/>
    <mergeCell ref="G29:H29"/>
    <mergeCell ref="I29:J29"/>
    <mergeCell ref="C33:D33"/>
    <mergeCell ref="E33:F33"/>
    <mergeCell ref="G33:H33"/>
    <mergeCell ref="I33:J33"/>
    <mergeCell ref="M33:N33"/>
    <mergeCell ref="C31:D31"/>
    <mergeCell ref="E31:F31"/>
    <mergeCell ref="G31:H31"/>
    <mergeCell ref="I31:J31"/>
    <mergeCell ref="M31:N31"/>
    <mergeCell ref="C32:D32"/>
    <mergeCell ref="E32:F32"/>
    <mergeCell ref="G32:H32"/>
    <mergeCell ref="I32:J32"/>
    <mergeCell ref="M32:N32"/>
  </mergeCells>
  <conditionalFormatting sqref="C4:H4">
    <cfRule type="expression" dxfId="25" priority="3" stopIfTrue="1">
      <formula>DAY(C4)&gt;8</formula>
    </cfRule>
  </conditionalFormatting>
  <conditionalFormatting sqref="C8:I10">
    <cfRule type="expression" dxfId="24" priority="2" stopIfTrue="1">
      <formula>AND(DAY(C8)&gt;=1,DAY(C8)&lt;=15)</formula>
    </cfRule>
  </conditionalFormatting>
  <conditionalFormatting sqref="C4:I9">
    <cfRule type="expression" dxfId="23" priority="4">
      <formula>VLOOKUP(DAY(C4),DíasDeTareas,1,FALSE)=DAY(C4)</formula>
    </cfRule>
  </conditionalFormatting>
  <conditionalFormatting sqref="B14:J33">
    <cfRule type="expression" dxfId="22" priority="1">
      <formula>B14&lt;&gt;""</formula>
    </cfRule>
  </conditionalFormatting>
  <printOptions horizontalCentered="1"/>
  <pageMargins left="0.5" right="0.5" top="0.5" bottom="0.5" header="0.3" footer="0.3"/>
  <pageSetup scale="63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O33"/>
  <sheetViews>
    <sheetView showGridLines="0" topLeftCell="A9" zoomScaleNormal="100" zoomScalePageLayoutView="84" workbookViewId="0">
      <selection activeCell="B14" sqref="B14:J33"/>
    </sheetView>
  </sheetViews>
  <sheetFormatPr baseColWidth="10" defaultColWidth="8.7109375" defaultRowHeight="16.5" customHeight="1" x14ac:dyDescent="0.2"/>
  <cols>
    <col min="1" max="1" width="2.28515625" style="1" customWidth="1"/>
    <col min="2" max="2" width="12.7109375" style="1" customWidth="1"/>
    <col min="3" max="10" width="6.7109375" style="1" customWidth="1"/>
    <col min="11" max="11" width="7.28515625" style="1" customWidth="1"/>
    <col min="12" max="12" width="3.85546875" customWidth="1"/>
    <col min="13" max="13" width="51.42578125" style="1" customWidth="1"/>
    <col min="14" max="14" width="10.7109375" style="1" customWidth="1"/>
    <col min="15" max="15" width="2.28515625" customWidth="1"/>
    <col min="16" max="22" width="8.85546875" customWidth="1"/>
    <col min="42" max="16384" width="8.7109375" style="1"/>
  </cols>
  <sheetData>
    <row r="1" spans="1:14" ht="11.25" customHeight="1" x14ac:dyDescent="0.2">
      <c r="A1" s="2"/>
      <c r="B1" s="2"/>
      <c r="C1" s="2"/>
      <c r="D1" s="2"/>
      <c r="E1" s="2"/>
      <c r="F1" s="2"/>
      <c r="G1" s="2"/>
    </row>
    <row r="2" spans="1:14" ht="18" customHeight="1" x14ac:dyDescent="0.2">
      <c r="A2" s="4"/>
      <c r="B2" s="58" t="s">
        <v>20</v>
      </c>
      <c r="C2" s="21"/>
      <c r="D2" s="21"/>
      <c r="E2" s="21"/>
      <c r="F2" s="21"/>
      <c r="G2" s="21"/>
      <c r="H2" s="21"/>
      <c r="I2" s="21"/>
      <c r="J2" s="22"/>
      <c r="K2" s="98" t="s">
        <v>3</v>
      </c>
      <c r="L2" s="99">
        <v>2013</v>
      </c>
      <c r="M2" s="99"/>
      <c r="N2" s="25"/>
    </row>
    <row r="3" spans="1:14" ht="21" customHeight="1" x14ac:dyDescent="0.2">
      <c r="A3" s="4"/>
      <c r="B3" s="59"/>
      <c r="C3" s="2" t="s">
        <v>5</v>
      </c>
      <c r="D3" s="2" t="s">
        <v>1</v>
      </c>
      <c r="E3" s="2" t="s">
        <v>6</v>
      </c>
      <c r="F3" s="2" t="s">
        <v>7</v>
      </c>
      <c r="G3" s="2" t="s">
        <v>8</v>
      </c>
      <c r="H3" s="2" t="s">
        <v>0</v>
      </c>
      <c r="I3" s="2" t="s">
        <v>9</v>
      </c>
      <c r="J3" s="5"/>
      <c r="K3" s="100"/>
      <c r="L3" s="101"/>
      <c r="M3" s="101"/>
      <c r="N3" s="26"/>
    </row>
    <row r="4" spans="1:14" ht="18" customHeight="1" x14ac:dyDescent="0.2">
      <c r="A4" s="4"/>
      <c r="B4" s="59"/>
      <c r="C4" s="10">
        <f>IF(DAY(AgoDom1)=1,AgoDom1-6,AgoDom1+1)</f>
        <v>43311</v>
      </c>
      <c r="D4" s="10">
        <f>IF(DAY(AgoDom1)=1,AgoDom1-5,AgoDom1+2)</f>
        <v>43312</v>
      </c>
      <c r="E4" s="10">
        <f>IF(DAY(AgoDom1)=1,AgoDom1-4,AgoDom1+3)</f>
        <v>43313</v>
      </c>
      <c r="F4" s="10">
        <f>IF(DAY(AgoDom1)=1,AgoDom1-3,AgoDom1+4)</f>
        <v>43314</v>
      </c>
      <c r="G4" s="10">
        <f>IF(DAY(AgoDom1)=1,AgoDom1-2,AgoDom1+5)</f>
        <v>43315</v>
      </c>
      <c r="H4" s="10">
        <f>IF(DAY(AgoDom1)=1,AgoDom1-1,AgoDom1+6)</f>
        <v>43316</v>
      </c>
      <c r="I4" s="10">
        <f>IF(DAY(AgoDom1)=1,AgoDom1,AgoDom1+7)</f>
        <v>43317</v>
      </c>
      <c r="J4" s="5"/>
      <c r="K4" s="102" t="s">
        <v>12</v>
      </c>
      <c r="L4" s="16"/>
      <c r="M4" s="103"/>
      <c r="N4" s="104"/>
    </row>
    <row r="5" spans="1:14" ht="18" customHeight="1" x14ac:dyDescent="0.2">
      <c r="A5" s="4"/>
      <c r="B5" s="59"/>
      <c r="C5" s="10">
        <f>IF(DAY(AgoDom1)=1,AgoDom1+1,AgoDom1+8)</f>
        <v>43318</v>
      </c>
      <c r="D5" s="10">
        <f>IF(DAY(AgoDom1)=1,AgoDom1+2,AgoDom1+9)</f>
        <v>43319</v>
      </c>
      <c r="E5" s="10">
        <f>IF(DAY(AgoDom1)=1,AgoDom1+3,AgoDom1+10)</f>
        <v>43320</v>
      </c>
      <c r="F5" s="10">
        <f>IF(DAY(AgoDom1)=1,AgoDom1+4,AgoDom1+11)</f>
        <v>43321</v>
      </c>
      <c r="G5" s="10">
        <f>IF(DAY(AgoDom1)=1,AgoDom1+5,AgoDom1+12)</f>
        <v>43322</v>
      </c>
      <c r="H5" s="10">
        <f>IF(DAY(AgoDom1)=1,AgoDom1+6,AgoDom1+13)</f>
        <v>43323</v>
      </c>
      <c r="I5" s="10">
        <f>IF(DAY(AgoDom1)=1,AgoDom1+7,AgoDom1+14)</f>
        <v>43324</v>
      </c>
      <c r="J5" s="5"/>
      <c r="K5" s="94"/>
      <c r="L5" s="17"/>
      <c r="M5" s="64"/>
      <c r="N5" s="65"/>
    </row>
    <row r="6" spans="1:14" ht="18" customHeight="1" x14ac:dyDescent="0.2">
      <c r="A6" s="4"/>
      <c r="B6" s="59"/>
      <c r="C6" s="10">
        <f>IF(DAY(AgoDom1)=1,AgoDom1+8,AgoDom1+15)</f>
        <v>43325</v>
      </c>
      <c r="D6" s="10">
        <f>IF(DAY(AgoDom1)=1,AgoDom1+9,AgoDom1+16)</f>
        <v>43326</v>
      </c>
      <c r="E6" s="10">
        <f>IF(DAY(AgoDom1)=1,AgoDom1+10,AgoDom1+17)</f>
        <v>43327</v>
      </c>
      <c r="F6" s="10">
        <f>IF(DAY(AgoDom1)=1,AgoDom1+11,AgoDom1+18)</f>
        <v>43328</v>
      </c>
      <c r="G6" s="10">
        <f>IF(DAY(AgoDom1)=1,AgoDom1+12,AgoDom1+19)</f>
        <v>43329</v>
      </c>
      <c r="H6" s="10">
        <f>IF(DAY(AgoDom1)=1,AgoDom1+13,AgoDom1+20)</f>
        <v>43330</v>
      </c>
      <c r="I6" s="10">
        <f>IF(DAY(AgoDom1)=1,AgoDom1+14,AgoDom1+21)</f>
        <v>43331</v>
      </c>
      <c r="J6" s="5"/>
      <c r="K6" s="94"/>
      <c r="L6" s="17"/>
      <c r="M6" s="64"/>
      <c r="N6" s="65"/>
    </row>
    <row r="7" spans="1:14" ht="18" customHeight="1" x14ac:dyDescent="0.2">
      <c r="A7" s="4"/>
      <c r="B7" s="59"/>
      <c r="C7" s="10">
        <f>IF(DAY(AgoDom1)=1,AgoDom1+15,AgoDom1+22)</f>
        <v>43332</v>
      </c>
      <c r="D7" s="10">
        <f>IF(DAY(AgoDom1)=1,AgoDom1+16,AgoDom1+23)</f>
        <v>43333</v>
      </c>
      <c r="E7" s="10">
        <f>IF(DAY(AgoDom1)=1,AgoDom1+17,AgoDom1+24)</f>
        <v>43334</v>
      </c>
      <c r="F7" s="10">
        <f>IF(DAY(AgoDom1)=1,AgoDom1+18,AgoDom1+25)</f>
        <v>43335</v>
      </c>
      <c r="G7" s="10">
        <f>IF(DAY(AgoDom1)=1,AgoDom1+19,AgoDom1+26)</f>
        <v>43336</v>
      </c>
      <c r="H7" s="10">
        <f>IF(DAY(AgoDom1)=1,AgoDom1+20,AgoDom1+27)</f>
        <v>43337</v>
      </c>
      <c r="I7" s="10">
        <f>IF(DAY(AgoDom1)=1,AgoDom1+21,AgoDom1+28)</f>
        <v>43338</v>
      </c>
      <c r="J7" s="5"/>
      <c r="K7" s="11"/>
      <c r="L7" s="17"/>
      <c r="M7" s="64"/>
      <c r="N7" s="65"/>
    </row>
    <row r="8" spans="1:14" ht="18.75" customHeight="1" x14ac:dyDescent="0.2">
      <c r="A8" s="4"/>
      <c r="B8" s="59"/>
      <c r="C8" s="10">
        <f>IF(DAY(AgoDom1)=1,AgoDom1+22,AgoDom1+29)</f>
        <v>43339</v>
      </c>
      <c r="D8" s="10">
        <f>IF(DAY(AgoDom1)=1,AgoDom1+23,AgoDom1+30)</f>
        <v>43340</v>
      </c>
      <c r="E8" s="10">
        <f>IF(DAY(AgoDom1)=1,AgoDom1+24,AgoDom1+31)</f>
        <v>43341</v>
      </c>
      <c r="F8" s="10">
        <f>IF(DAY(AgoDom1)=1,AgoDom1+25,AgoDom1+32)</f>
        <v>43342</v>
      </c>
      <c r="G8" s="10">
        <f>IF(DAY(AgoDom1)=1,AgoDom1+26,AgoDom1+33)</f>
        <v>43343</v>
      </c>
      <c r="H8" s="10">
        <f>IF(DAY(AgoDom1)=1,AgoDom1+27,AgoDom1+34)</f>
        <v>43344</v>
      </c>
      <c r="I8" s="10">
        <f>IF(DAY(AgoDom1)=1,AgoDom1+28,AgoDom1+35)</f>
        <v>43345</v>
      </c>
      <c r="J8" s="5"/>
      <c r="K8" s="11"/>
      <c r="L8" s="17"/>
      <c r="M8" s="64"/>
      <c r="N8" s="65"/>
    </row>
    <row r="9" spans="1:14" ht="18" customHeight="1" x14ac:dyDescent="0.2">
      <c r="A9" s="4"/>
      <c r="B9" s="59"/>
      <c r="C9" s="10">
        <f>IF(DAY(AgoDom1)=1,AgoDom1+29,AgoDom1+36)</f>
        <v>43346</v>
      </c>
      <c r="D9" s="10">
        <f>IF(DAY(AgoDom1)=1,AgoDom1+30,AgoDom1+37)</f>
        <v>43347</v>
      </c>
      <c r="E9" s="10">
        <f>IF(DAY(AgoDom1)=1,AgoDom1+31,AgoDom1+38)</f>
        <v>43348</v>
      </c>
      <c r="F9" s="10">
        <f>IF(DAY(AgoDom1)=1,AgoDom1+32,AgoDom1+39)</f>
        <v>43349</v>
      </c>
      <c r="G9" s="10">
        <f>IF(DAY(AgoDom1)=1,AgoDom1+33,AgoDom1+40)</f>
        <v>43350</v>
      </c>
      <c r="H9" s="10">
        <f>IF(DAY(AgoDom1)=1,AgoDom1+34,AgoDom1+41)</f>
        <v>43351</v>
      </c>
      <c r="I9" s="10">
        <f>IF(DAY(AgoDom1)=1,AgoDom1+35,AgoDom1+42)</f>
        <v>43352</v>
      </c>
      <c r="J9" s="5"/>
      <c r="K9" s="12"/>
      <c r="L9" s="18"/>
      <c r="M9" s="68"/>
      <c r="N9" s="69"/>
    </row>
    <row r="10" spans="1:14" ht="18" customHeight="1" x14ac:dyDescent="0.2">
      <c r="A10" s="4"/>
      <c r="B10" s="60"/>
      <c r="C10" s="23"/>
      <c r="D10" s="23"/>
      <c r="E10" s="23"/>
      <c r="F10" s="23"/>
      <c r="G10" s="23"/>
      <c r="H10" s="23"/>
      <c r="I10" s="23"/>
      <c r="J10" s="24"/>
      <c r="K10" s="93" t="s">
        <v>13</v>
      </c>
      <c r="L10" s="16"/>
      <c r="M10" s="70"/>
      <c r="N10" s="71"/>
    </row>
    <row r="11" spans="1:14" ht="18" customHeight="1" x14ac:dyDescent="0.2">
      <c r="A11" s="4"/>
      <c r="B11" s="61" t="s">
        <v>11</v>
      </c>
      <c r="C11" s="62"/>
      <c r="D11" s="62"/>
      <c r="E11" s="62"/>
      <c r="F11" s="62"/>
      <c r="G11" s="62"/>
      <c r="H11" s="62"/>
      <c r="I11" s="62"/>
      <c r="J11" s="63"/>
      <c r="K11" s="94"/>
      <c r="L11" s="17"/>
      <c r="M11" s="64"/>
      <c r="N11" s="65"/>
    </row>
    <row r="12" spans="1:14" ht="18" customHeight="1" x14ac:dyDescent="0.2">
      <c r="A12" s="4"/>
      <c r="B12" s="61"/>
      <c r="C12" s="62"/>
      <c r="D12" s="62"/>
      <c r="E12" s="62"/>
      <c r="F12" s="62"/>
      <c r="G12" s="62"/>
      <c r="H12" s="62"/>
      <c r="I12" s="62"/>
      <c r="J12" s="63"/>
      <c r="K12" s="94"/>
      <c r="L12" s="17"/>
      <c r="M12" s="64"/>
      <c r="N12" s="65"/>
    </row>
    <row r="13" spans="1:14" ht="18" customHeight="1" x14ac:dyDescent="0.2">
      <c r="B13" s="3" t="s">
        <v>12</v>
      </c>
      <c r="C13" s="95" t="s">
        <v>13</v>
      </c>
      <c r="D13" s="97"/>
      <c r="E13" s="95" t="s">
        <v>14</v>
      </c>
      <c r="F13" s="97"/>
      <c r="G13" s="95" t="s">
        <v>15</v>
      </c>
      <c r="H13" s="97"/>
      <c r="I13" s="95" t="s">
        <v>16</v>
      </c>
      <c r="J13" s="96"/>
      <c r="K13" s="11"/>
      <c r="L13" s="17"/>
      <c r="M13" s="64"/>
      <c r="N13" s="65"/>
    </row>
    <row r="14" spans="1:14" ht="18" customHeight="1" x14ac:dyDescent="0.2">
      <c r="B14" s="8"/>
      <c r="C14" s="72"/>
      <c r="D14" s="73"/>
      <c r="E14" s="72"/>
      <c r="F14" s="73"/>
      <c r="G14" s="72"/>
      <c r="H14" s="73"/>
      <c r="I14" s="72"/>
      <c r="J14" s="87"/>
      <c r="K14" s="11"/>
      <c r="L14" s="17"/>
      <c r="M14" s="64"/>
      <c r="N14" s="65"/>
    </row>
    <row r="15" spans="1:14" ht="18" customHeight="1" x14ac:dyDescent="0.2">
      <c r="B15" s="6"/>
      <c r="C15" s="74"/>
      <c r="D15" s="75"/>
      <c r="E15" s="74"/>
      <c r="F15" s="75"/>
      <c r="G15" s="74"/>
      <c r="H15" s="75"/>
      <c r="I15" s="85"/>
      <c r="J15" s="86"/>
      <c r="K15" s="13"/>
      <c r="L15" s="19"/>
      <c r="M15" s="68"/>
      <c r="N15" s="69"/>
    </row>
    <row r="16" spans="1:14" ht="18" customHeight="1" x14ac:dyDescent="0.2">
      <c r="B16" s="8"/>
      <c r="C16" s="72"/>
      <c r="D16" s="73"/>
      <c r="E16" s="72"/>
      <c r="F16" s="73"/>
      <c r="G16" s="72"/>
      <c r="H16" s="73"/>
      <c r="I16" s="81"/>
      <c r="J16" s="82"/>
      <c r="K16" s="107" t="s">
        <v>14</v>
      </c>
      <c r="L16" s="16"/>
      <c r="M16" s="70"/>
      <c r="N16" s="71"/>
    </row>
    <row r="17" spans="2:14" ht="18" customHeight="1" x14ac:dyDescent="0.2">
      <c r="B17" s="6"/>
      <c r="C17" s="74"/>
      <c r="D17" s="75"/>
      <c r="E17" s="74"/>
      <c r="F17" s="75"/>
      <c r="G17" s="74"/>
      <c r="H17" s="75"/>
      <c r="I17" s="85"/>
      <c r="J17" s="86"/>
      <c r="K17" s="108"/>
      <c r="L17" s="17"/>
      <c r="M17" s="64"/>
      <c r="N17" s="65"/>
    </row>
    <row r="18" spans="2:14" ht="18" customHeight="1" x14ac:dyDescent="0.2">
      <c r="B18" s="9"/>
      <c r="C18" s="90"/>
      <c r="D18" s="91"/>
      <c r="E18" s="90"/>
      <c r="F18" s="91"/>
      <c r="G18" s="90"/>
      <c r="H18" s="91"/>
      <c r="I18" s="90"/>
      <c r="J18" s="92"/>
      <c r="K18" s="108"/>
      <c r="L18" s="17"/>
      <c r="M18" s="64"/>
      <c r="N18" s="65"/>
    </row>
    <row r="19" spans="2:14" ht="18" customHeight="1" x14ac:dyDescent="0.2">
      <c r="B19" s="6"/>
      <c r="C19" s="74"/>
      <c r="D19" s="75"/>
      <c r="E19" s="74"/>
      <c r="F19" s="75"/>
      <c r="G19" s="74"/>
      <c r="H19" s="75"/>
      <c r="I19" s="85"/>
      <c r="J19" s="86"/>
      <c r="K19" s="11"/>
      <c r="L19" s="17"/>
      <c r="M19" s="64"/>
      <c r="N19" s="65"/>
    </row>
    <row r="20" spans="2:14" ht="18" customHeight="1" x14ac:dyDescent="0.2">
      <c r="B20" s="8"/>
      <c r="C20" s="72"/>
      <c r="D20" s="73"/>
      <c r="E20" s="72"/>
      <c r="F20" s="73"/>
      <c r="G20" s="72"/>
      <c r="H20" s="73"/>
      <c r="I20" s="72"/>
      <c r="J20" s="87"/>
      <c r="K20" s="11"/>
      <c r="L20" s="17"/>
      <c r="M20" s="64"/>
      <c r="N20" s="65"/>
    </row>
    <row r="21" spans="2:14" ht="18" customHeight="1" x14ac:dyDescent="0.2">
      <c r="B21" s="6"/>
      <c r="C21" s="74"/>
      <c r="D21" s="75"/>
      <c r="E21" s="74"/>
      <c r="F21" s="75"/>
      <c r="G21" s="74"/>
      <c r="H21" s="75"/>
      <c r="I21" s="88"/>
      <c r="J21" s="89"/>
      <c r="K21" s="13"/>
      <c r="L21" s="19"/>
      <c r="M21" s="68"/>
      <c r="N21" s="69"/>
    </row>
    <row r="22" spans="2:14" ht="18" customHeight="1" x14ac:dyDescent="0.2">
      <c r="B22" s="8"/>
      <c r="C22" s="72"/>
      <c r="D22" s="73"/>
      <c r="E22" s="72"/>
      <c r="F22" s="73"/>
      <c r="G22" s="72"/>
      <c r="H22" s="73"/>
      <c r="I22" s="72"/>
      <c r="J22" s="87"/>
      <c r="K22" s="107" t="s">
        <v>15</v>
      </c>
      <c r="L22" s="16"/>
      <c r="M22" s="70"/>
      <c r="N22" s="71"/>
    </row>
    <row r="23" spans="2:14" ht="18" customHeight="1" x14ac:dyDescent="0.2">
      <c r="B23" s="6"/>
      <c r="C23" s="74"/>
      <c r="D23" s="75"/>
      <c r="E23" s="74"/>
      <c r="F23" s="75"/>
      <c r="G23" s="74"/>
      <c r="H23" s="75"/>
      <c r="I23" s="85"/>
      <c r="J23" s="86"/>
      <c r="K23" s="108"/>
      <c r="L23" s="17"/>
      <c r="M23" s="64"/>
      <c r="N23" s="65"/>
    </row>
    <row r="24" spans="2:14" ht="18" customHeight="1" x14ac:dyDescent="0.2">
      <c r="B24" s="8"/>
      <c r="C24" s="72"/>
      <c r="D24" s="73"/>
      <c r="E24" s="72"/>
      <c r="F24" s="73"/>
      <c r="G24" s="72"/>
      <c r="H24" s="73"/>
      <c r="I24" s="72"/>
      <c r="J24" s="87"/>
      <c r="K24" s="108"/>
      <c r="L24" s="17"/>
      <c r="M24" s="64"/>
      <c r="N24" s="65"/>
    </row>
    <row r="25" spans="2:14" ht="18" customHeight="1" x14ac:dyDescent="0.2">
      <c r="B25" s="6"/>
      <c r="C25" s="74"/>
      <c r="D25" s="75"/>
      <c r="E25" s="74"/>
      <c r="F25" s="75"/>
      <c r="G25" s="74"/>
      <c r="H25" s="75"/>
      <c r="I25" s="85"/>
      <c r="J25" s="86"/>
      <c r="K25" s="108"/>
      <c r="L25" s="17"/>
      <c r="M25" s="64"/>
      <c r="N25" s="65"/>
    </row>
    <row r="26" spans="2:14" ht="18" customHeight="1" x14ac:dyDescent="0.2">
      <c r="B26" s="8"/>
      <c r="C26" s="72"/>
      <c r="D26" s="73"/>
      <c r="E26" s="72"/>
      <c r="F26" s="73"/>
      <c r="G26" s="72"/>
      <c r="H26" s="73"/>
      <c r="I26" s="72"/>
      <c r="J26" s="87"/>
      <c r="K26" s="11"/>
      <c r="L26" s="17"/>
      <c r="M26" s="64"/>
      <c r="N26" s="65"/>
    </row>
    <row r="27" spans="2:14" ht="18" customHeight="1" x14ac:dyDescent="0.2">
      <c r="B27" s="6"/>
      <c r="C27" s="74"/>
      <c r="D27" s="75"/>
      <c r="E27" s="74"/>
      <c r="F27" s="75"/>
      <c r="G27" s="74"/>
      <c r="H27" s="75"/>
      <c r="I27" s="85"/>
      <c r="J27" s="86"/>
      <c r="K27" s="13"/>
      <c r="L27" s="19"/>
      <c r="M27" s="68"/>
      <c r="N27" s="69"/>
    </row>
    <row r="28" spans="2:14" ht="18" customHeight="1" x14ac:dyDescent="0.2">
      <c r="B28" s="8"/>
      <c r="C28" s="72"/>
      <c r="D28" s="73"/>
      <c r="E28" s="72"/>
      <c r="F28" s="73"/>
      <c r="G28" s="72"/>
      <c r="H28" s="73"/>
      <c r="I28" s="72"/>
      <c r="J28" s="87"/>
      <c r="K28" s="93" t="s">
        <v>16</v>
      </c>
      <c r="L28" s="16"/>
      <c r="M28" s="70"/>
      <c r="N28" s="71"/>
    </row>
    <row r="29" spans="2:14" ht="18" customHeight="1" x14ac:dyDescent="0.2">
      <c r="B29" s="6"/>
      <c r="C29" s="74"/>
      <c r="D29" s="75"/>
      <c r="E29" s="74"/>
      <c r="F29" s="75"/>
      <c r="G29" s="74"/>
      <c r="H29" s="75"/>
      <c r="I29" s="74"/>
      <c r="J29" s="80"/>
      <c r="K29" s="94"/>
      <c r="L29" s="17"/>
      <c r="M29" s="64"/>
      <c r="N29" s="65"/>
    </row>
    <row r="30" spans="2:14" ht="18" customHeight="1" x14ac:dyDescent="0.2">
      <c r="B30" s="8"/>
      <c r="C30" s="72"/>
      <c r="D30" s="73"/>
      <c r="E30" s="72"/>
      <c r="F30" s="73"/>
      <c r="G30" s="72"/>
      <c r="H30" s="73"/>
      <c r="I30" s="78"/>
      <c r="J30" s="79"/>
      <c r="K30" s="94"/>
      <c r="L30" s="17"/>
      <c r="M30" s="64"/>
      <c r="N30" s="65"/>
    </row>
    <row r="31" spans="2:14" ht="18" customHeight="1" x14ac:dyDescent="0.2">
      <c r="B31" s="6"/>
      <c r="C31" s="74"/>
      <c r="D31" s="75"/>
      <c r="E31" s="74"/>
      <c r="F31" s="75"/>
      <c r="G31" s="74"/>
      <c r="H31" s="75"/>
      <c r="I31" s="74"/>
      <c r="J31" s="80"/>
      <c r="K31" s="14"/>
      <c r="L31" s="17"/>
      <c r="M31" s="64"/>
      <c r="N31" s="65"/>
    </row>
    <row r="32" spans="2:14" ht="18" customHeight="1" x14ac:dyDescent="0.2">
      <c r="B32" s="8"/>
      <c r="C32" s="72"/>
      <c r="D32" s="73"/>
      <c r="E32" s="72"/>
      <c r="F32" s="73"/>
      <c r="G32" s="72"/>
      <c r="H32" s="73"/>
      <c r="I32" s="81"/>
      <c r="J32" s="82"/>
      <c r="K32" s="14"/>
      <c r="L32" s="17"/>
      <c r="M32" s="64"/>
      <c r="N32" s="65"/>
    </row>
    <row r="33" spans="2:14" ht="18" customHeight="1" x14ac:dyDescent="0.2">
      <c r="B33" s="7"/>
      <c r="C33" s="76"/>
      <c r="D33" s="77"/>
      <c r="E33" s="76"/>
      <c r="F33" s="77"/>
      <c r="G33" s="76"/>
      <c r="H33" s="77"/>
      <c r="I33" s="83"/>
      <c r="J33" s="84"/>
      <c r="K33" s="15"/>
      <c r="L33" s="20"/>
      <c r="M33" s="66"/>
      <c r="N33" s="67"/>
    </row>
  </sheetData>
  <mergeCells count="122">
    <mergeCell ref="M10:N10"/>
    <mergeCell ref="B11:J12"/>
    <mergeCell ref="M11:N11"/>
    <mergeCell ref="M12:N12"/>
    <mergeCell ref="C13:D13"/>
    <mergeCell ref="E13:F13"/>
    <mergeCell ref="G13:H13"/>
    <mergeCell ref="I13:J13"/>
    <mergeCell ref="M13:N13"/>
    <mergeCell ref="B2:B10"/>
    <mergeCell ref="K2:M3"/>
    <mergeCell ref="K4:K6"/>
    <mergeCell ref="M4:N4"/>
    <mergeCell ref="M5:N5"/>
    <mergeCell ref="M6:N6"/>
    <mergeCell ref="M7:N7"/>
    <mergeCell ref="M8:N8"/>
    <mergeCell ref="M9:N9"/>
    <mergeCell ref="K10:K12"/>
    <mergeCell ref="C14:D14"/>
    <mergeCell ref="E14:F14"/>
    <mergeCell ref="G14:H14"/>
    <mergeCell ref="I14:J14"/>
    <mergeCell ref="M14:N14"/>
    <mergeCell ref="C15:D15"/>
    <mergeCell ref="E15:F15"/>
    <mergeCell ref="G15:H15"/>
    <mergeCell ref="I15:J15"/>
    <mergeCell ref="M15:N15"/>
    <mergeCell ref="M17:N17"/>
    <mergeCell ref="C18:D18"/>
    <mergeCell ref="E18:F18"/>
    <mergeCell ref="G18:H18"/>
    <mergeCell ref="I18:J18"/>
    <mergeCell ref="M18:N18"/>
    <mergeCell ref="C16:D16"/>
    <mergeCell ref="E16:F16"/>
    <mergeCell ref="G16:H16"/>
    <mergeCell ref="I16:J16"/>
    <mergeCell ref="K16:K18"/>
    <mergeCell ref="M16:N16"/>
    <mergeCell ref="C17:D17"/>
    <mergeCell ref="E17:F17"/>
    <mergeCell ref="G17:H17"/>
    <mergeCell ref="I17:J17"/>
    <mergeCell ref="C19:D19"/>
    <mergeCell ref="E19:F19"/>
    <mergeCell ref="G19:H19"/>
    <mergeCell ref="I19:J19"/>
    <mergeCell ref="M19:N19"/>
    <mergeCell ref="C20:D20"/>
    <mergeCell ref="E20:F20"/>
    <mergeCell ref="G20:H20"/>
    <mergeCell ref="I20:J20"/>
    <mergeCell ref="M20:N20"/>
    <mergeCell ref="M22:N22"/>
    <mergeCell ref="C23:D23"/>
    <mergeCell ref="E23:F23"/>
    <mergeCell ref="G23:H23"/>
    <mergeCell ref="I23:J23"/>
    <mergeCell ref="M23:N23"/>
    <mergeCell ref="C21:D21"/>
    <mergeCell ref="E21:F21"/>
    <mergeCell ref="G21:H21"/>
    <mergeCell ref="I21:J21"/>
    <mergeCell ref="M21:N21"/>
    <mergeCell ref="C22:D22"/>
    <mergeCell ref="E22:F22"/>
    <mergeCell ref="G22:H22"/>
    <mergeCell ref="I22:J22"/>
    <mergeCell ref="K22:K25"/>
    <mergeCell ref="C24:D24"/>
    <mergeCell ref="E24:F24"/>
    <mergeCell ref="G24:H24"/>
    <mergeCell ref="I24:J24"/>
    <mergeCell ref="M24:N24"/>
    <mergeCell ref="C25:D25"/>
    <mergeCell ref="E25:F25"/>
    <mergeCell ref="G25:H25"/>
    <mergeCell ref="I25:J25"/>
    <mergeCell ref="M25:N25"/>
    <mergeCell ref="C26:D26"/>
    <mergeCell ref="E26:F26"/>
    <mergeCell ref="G26:H26"/>
    <mergeCell ref="I26:J26"/>
    <mergeCell ref="M26:N26"/>
    <mergeCell ref="C27:D27"/>
    <mergeCell ref="E27:F27"/>
    <mergeCell ref="G27:H27"/>
    <mergeCell ref="I27:J27"/>
    <mergeCell ref="M27:N27"/>
    <mergeCell ref="M29:N29"/>
    <mergeCell ref="C30:D30"/>
    <mergeCell ref="E30:F30"/>
    <mergeCell ref="G30:H30"/>
    <mergeCell ref="I30:J30"/>
    <mergeCell ref="M30:N30"/>
    <mergeCell ref="C28:D28"/>
    <mergeCell ref="E28:F28"/>
    <mergeCell ref="G28:H28"/>
    <mergeCell ref="I28:J28"/>
    <mergeCell ref="K28:K30"/>
    <mergeCell ref="M28:N28"/>
    <mergeCell ref="C29:D29"/>
    <mergeCell ref="E29:F29"/>
    <mergeCell ref="G29:H29"/>
    <mergeCell ref="I29:J29"/>
    <mergeCell ref="C33:D33"/>
    <mergeCell ref="E33:F33"/>
    <mergeCell ref="G33:H33"/>
    <mergeCell ref="I33:J33"/>
    <mergeCell ref="M33:N33"/>
    <mergeCell ref="C31:D31"/>
    <mergeCell ref="E31:F31"/>
    <mergeCell ref="G31:H31"/>
    <mergeCell ref="I31:J31"/>
    <mergeCell ref="M31:N31"/>
    <mergeCell ref="C32:D32"/>
    <mergeCell ref="E32:F32"/>
    <mergeCell ref="G32:H32"/>
    <mergeCell ref="I32:J32"/>
    <mergeCell ref="M32:N32"/>
  </mergeCells>
  <conditionalFormatting sqref="C4:H4">
    <cfRule type="expression" dxfId="21" priority="3" stopIfTrue="1">
      <formula>DAY(C4)&gt;8</formula>
    </cfRule>
  </conditionalFormatting>
  <conditionalFormatting sqref="C8:I10">
    <cfRule type="expression" dxfId="20" priority="2" stopIfTrue="1">
      <formula>AND(DAY(C8)&gt;=1,DAY(C8)&lt;=15)</formula>
    </cfRule>
  </conditionalFormatting>
  <conditionalFormatting sqref="C4:I9">
    <cfRule type="expression" dxfId="19" priority="4">
      <formula>VLOOKUP(DAY(C4),DíasDeTareas,1,FALSE)=DAY(C4)</formula>
    </cfRule>
  </conditionalFormatting>
  <conditionalFormatting sqref="B14:J33">
    <cfRule type="expression" dxfId="18" priority="1">
      <formula>B14&lt;&gt;""</formula>
    </cfRule>
  </conditionalFormatting>
  <printOptions horizontalCentered="1"/>
  <pageMargins left="0.5" right="0.5" top="0.5" bottom="0.5" header="0.3" footer="0.3"/>
  <pageSetup scale="63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O33"/>
  <sheetViews>
    <sheetView showGridLines="0" topLeftCell="A9" zoomScaleNormal="100" zoomScalePageLayoutView="84" workbookViewId="0">
      <selection activeCell="L35" sqref="L35"/>
    </sheetView>
  </sheetViews>
  <sheetFormatPr baseColWidth="10" defaultColWidth="8.7109375" defaultRowHeight="16.5" customHeight="1" x14ac:dyDescent="0.2"/>
  <cols>
    <col min="1" max="1" width="2.28515625" style="1" customWidth="1"/>
    <col min="2" max="2" width="12.7109375" style="1" customWidth="1"/>
    <col min="3" max="10" width="6.7109375" style="1" customWidth="1"/>
    <col min="11" max="11" width="7.28515625" style="1" customWidth="1"/>
    <col min="12" max="12" width="3.85546875" customWidth="1"/>
    <col min="13" max="13" width="51.42578125" style="1" customWidth="1"/>
    <col min="14" max="14" width="10.7109375" style="1" customWidth="1"/>
    <col min="15" max="15" width="2.28515625" customWidth="1"/>
    <col min="16" max="22" width="8.85546875" customWidth="1"/>
    <col min="42" max="16384" width="8.7109375" style="1"/>
  </cols>
  <sheetData>
    <row r="1" spans="1:14" ht="11.25" customHeight="1" x14ac:dyDescent="0.2"/>
    <row r="2" spans="1:14" ht="18" customHeight="1" x14ac:dyDescent="0.2">
      <c r="A2" s="4"/>
      <c r="B2" s="58" t="s">
        <v>19</v>
      </c>
      <c r="C2" s="21"/>
      <c r="D2" s="21"/>
      <c r="E2" s="21"/>
      <c r="F2" s="21"/>
      <c r="G2" s="21"/>
      <c r="H2" s="21"/>
      <c r="I2" s="21"/>
      <c r="J2" s="22"/>
      <c r="K2" s="98" t="s">
        <v>3</v>
      </c>
      <c r="L2" s="99">
        <v>2013</v>
      </c>
      <c r="M2" s="99"/>
      <c r="N2" s="25"/>
    </row>
    <row r="3" spans="1:14" ht="21" customHeight="1" x14ac:dyDescent="0.2">
      <c r="A3" s="4"/>
      <c r="B3" s="59"/>
      <c r="C3" s="2" t="s">
        <v>5</v>
      </c>
      <c r="D3" s="2" t="s">
        <v>1</v>
      </c>
      <c r="E3" s="2" t="s">
        <v>6</v>
      </c>
      <c r="F3" s="2" t="s">
        <v>7</v>
      </c>
      <c r="G3" s="2" t="s">
        <v>8</v>
      </c>
      <c r="H3" s="2" t="s">
        <v>0</v>
      </c>
      <c r="I3" s="2" t="s">
        <v>9</v>
      </c>
      <c r="J3" s="5"/>
      <c r="K3" s="100"/>
      <c r="L3" s="101"/>
      <c r="M3" s="101"/>
      <c r="N3" s="26"/>
    </row>
    <row r="4" spans="1:14" ht="18" customHeight="1" x14ac:dyDescent="0.2">
      <c r="A4" s="4"/>
      <c r="B4" s="59"/>
      <c r="C4" s="10">
        <f>IF(DAY(SepDom1)=1,SepDom1-6,SepDom1+1)</f>
        <v>43339</v>
      </c>
      <c r="D4" s="10">
        <f>IF(DAY(SepDom1)=1,SepDom1-5,SepDom1+2)</f>
        <v>43340</v>
      </c>
      <c r="E4" s="10">
        <f>IF(DAY(SepDom1)=1,SepDom1-4,SepDom1+3)</f>
        <v>43341</v>
      </c>
      <c r="F4" s="10">
        <f>IF(DAY(SepDom1)=1,SepDom1-3,SepDom1+4)</f>
        <v>43342</v>
      </c>
      <c r="G4" s="10">
        <f>IF(DAY(SepDom1)=1,SepDom1-2,SepDom1+5)</f>
        <v>43343</v>
      </c>
      <c r="H4" s="10">
        <f>IF(DAY(SepDom1)=1,SepDom1-1,SepDom1+6)</f>
        <v>43344</v>
      </c>
      <c r="I4" s="10">
        <f>IF(DAY(SepDom1)=1,SepDom1,SepDom1+7)</f>
        <v>43345</v>
      </c>
      <c r="J4" s="5"/>
      <c r="K4" s="102" t="s">
        <v>12</v>
      </c>
      <c r="L4" s="16"/>
      <c r="M4" s="103"/>
      <c r="N4" s="104"/>
    </row>
    <row r="5" spans="1:14" ht="18" customHeight="1" x14ac:dyDescent="0.2">
      <c r="A5" s="4"/>
      <c r="B5" s="59"/>
      <c r="C5" s="10">
        <f>IF(DAY(SepDom1)=1,SepDom1+1,SepDom1+8)</f>
        <v>43346</v>
      </c>
      <c r="D5" s="10">
        <f>IF(DAY(SepDom1)=1,SepDom1+2,SepDom1+9)</f>
        <v>43347</v>
      </c>
      <c r="E5" s="10">
        <f>IF(DAY(SepDom1)=1,SepDom1+3,SepDom1+10)</f>
        <v>43348</v>
      </c>
      <c r="F5" s="10">
        <f>IF(DAY(SepDom1)=1,SepDom1+4,SepDom1+11)</f>
        <v>43349</v>
      </c>
      <c r="G5" s="10">
        <f>IF(DAY(SepDom1)=1,SepDom1+5,SepDom1+12)</f>
        <v>43350</v>
      </c>
      <c r="H5" s="10">
        <f>IF(DAY(SepDom1)=1,SepDom1+6,SepDom1+13)</f>
        <v>43351</v>
      </c>
      <c r="I5" s="10">
        <f>IF(DAY(SepDom1)=1,SepDom1+7,SepDom1+14)</f>
        <v>43352</v>
      </c>
      <c r="J5" s="5"/>
      <c r="K5" s="94"/>
      <c r="L5" s="17"/>
      <c r="M5" s="64"/>
      <c r="N5" s="65"/>
    </row>
    <row r="6" spans="1:14" ht="18" customHeight="1" x14ac:dyDescent="0.2">
      <c r="A6" s="4"/>
      <c r="B6" s="59"/>
      <c r="C6" s="10">
        <f>IF(DAY(SepDom1)=1,SepDom1+8,SepDom1+15)</f>
        <v>43353</v>
      </c>
      <c r="D6" s="10">
        <f>IF(DAY(SepDom1)=1,SepDom1+9,SepDom1+16)</f>
        <v>43354</v>
      </c>
      <c r="E6" s="10">
        <f>IF(DAY(SepDom1)=1,SepDom1+10,SepDom1+17)</f>
        <v>43355</v>
      </c>
      <c r="F6" s="10">
        <f>IF(DAY(SepDom1)=1,SepDom1+11,SepDom1+18)</f>
        <v>43356</v>
      </c>
      <c r="G6" s="10">
        <f>IF(DAY(SepDom1)=1,SepDom1+12,SepDom1+19)</f>
        <v>43357</v>
      </c>
      <c r="H6" s="10">
        <f>IF(DAY(SepDom1)=1,SepDom1+13,SepDom1+20)</f>
        <v>43358</v>
      </c>
      <c r="I6" s="10">
        <f>IF(DAY(SepDom1)=1,SepDom1+14,SepDom1+21)</f>
        <v>43359</v>
      </c>
      <c r="J6" s="5"/>
      <c r="K6" s="94"/>
      <c r="L6" s="17"/>
      <c r="M6" s="64"/>
      <c r="N6" s="65"/>
    </row>
    <row r="7" spans="1:14" ht="18" customHeight="1" x14ac:dyDescent="0.2">
      <c r="A7" s="4"/>
      <c r="B7" s="59"/>
      <c r="C7" s="10">
        <f>IF(DAY(SepDom1)=1,SepDom1+15,SepDom1+22)</f>
        <v>43360</v>
      </c>
      <c r="D7" s="10">
        <f>IF(DAY(SepDom1)=1,SepDom1+16,SepDom1+23)</f>
        <v>43361</v>
      </c>
      <c r="E7" s="10">
        <f>IF(DAY(SepDom1)=1,SepDom1+17,SepDom1+24)</f>
        <v>43362</v>
      </c>
      <c r="F7" s="10">
        <f>IF(DAY(SepDom1)=1,SepDom1+18,SepDom1+25)</f>
        <v>43363</v>
      </c>
      <c r="G7" s="10">
        <f>IF(DAY(SepDom1)=1,SepDom1+19,SepDom1+26)</f>
        <v>43364</v>
      </c>
      <c r="H7" s="10">
        <f>IF(DAY(SepDom1)=1,SepDom1+20,SepDom1+27)</f>
        <v>43365</v>
      </c>
      <c r="I7" s="10">
        <f>IF(DAY(SepDom1)=1,SepDom1+21,SepDom1+28)</f>
        <v>43366</v>
      </c>
      <c r="J7" s="5"/>
      <c r="K7" s="11"/>
      <c r="L7" s="17"/>
      <c r="M7" s="64"/>
      <c r="N7" s="65"/>
    </row>
    <row r="8" spans="1:14" ht="18.75" customHeight="1" x14ac:dyDescent="0.2">
      <c r="A8" s="4"/>
      <c r="B8" s="59"/>
      <c r="C8" s="10">
        <f>IF(DAY(SepDom1)=1,SepDom1+22,SepDom1+29)</f>
        <v>43367</v>
      </c>
      <c r="D8" s="10">
        <f>IF(DAY(SepDom1)=1,SepDom1+23,SepDom1+30)</f>
        <v>43368</v>
      </c>
      <c r="E8" s="10">
        <f>IF(DAY(SepDom1)=1,SepDom1+24,SepDom1+31)</f>
        <v>43369</v>
      </c>
      <c r="F8" s="10">
        <f>IF(DAY(SepDom1)=1,SepDom1+25,SepDom1+32)</f>
        <v>43370</v>
      </c>
      <c r="G8" s="10">
        <f>IF(DAY(SepDom1)=1,SepDom1+26,SepDom1+33)</f>
        <v>43371</v>
      </c>
      <c r="H8" s="10">
        <f>IF(DAY(SepDom1)=1,SepDom1+27,SepDom1+34)</f>
        <v>43372</v>
      </c>
      <c r="I8" s="10">
        <f>IF(DAY(SepDom1)=1,SepDom1+28,SepDom1+35)</f>
        <v>43373</v>
      </c>
      <c r="J8" s="5"/>
      <c r="K8" s="11"/>
      <c r="L8" s="17"/>
      <c r="M8" s="64"/>
      <c r="N8" s="65"/>
    </row>
    <row r="9" spans="1:14" ht="18" customHeight="1" x14ac:dyDescent="0.2">
      <c r="A9" s="4"/>
      <c r="B9" s="59"/>
      <c r="C9" s="10">
        <f>IF(DAY(SepDom1)=1,SepDom1+29,SepDom1+36)</f>
        <v>43374</v>
      </c>
      <c r="D9" s="10">
        <f>IF(DAY(SepDom1)=1,SepDom1+30,SepDom1+37)</f>
        <v>43375</v>
      </c>
      <c r="E9" s="10">
        <f>IF(DAY(SepDom1)=1,SepDom1+31,SepDom1+38)</f>
        <v>43376</v>
      </c>
      <c r="F9" s="10">
        <f>IF(DAY(SepDom1)=1,SepDom1+32,SepDom1+39)</f>
        <v>43377</v>
      </c>
      <c r="G9" s="10">
        <f>IF(DAY(SepDom1)=1,SepDom1+33,SepDom1+40)</f>
        <v>43378</v>
      </c>
      <c r="H9" s="10">
        <f>IF(DAY(SepDom1)=1,SepDom1+34,SepDom1+41)</f>
        <v>43379</v>
      </c>
      <c r="I9" s="10">
        <f>IF(DAY(SepDom1)=1,SepDom1+35,SepDom1+42)</f>
        <v>43380</v>
      </c>
      <c r="J9" s="5"/>
      <c r="K9" s="12"/>
      <c r="L9" s="18"/>
      <c r="M9" s="68"/>
      <c r="N9" s="69"/>
    </row>
    <row r="10" spans="1:14" ht="18" customHeight="1" x14ac:dyDescent="0.2">
      <c r="A10" s="4"/>
      <c r="B10" s="60"/>
      <c r="C10" s="23"/>
      <c r="D10" s="23"/>
      <c r="E10" s="23"/>
      <c r="F10" s="23"/>
      <c r="G10" s="23"/>
      <c r="H10" s="23"/>
      <c r="I10" s="23"/>
      <c r="J10" s="24"/>
      <c r="K10" s="93" t="s">
        <v>13</v>
      </c>
      <c r="L10" s="16"/>
      <c r="M10" s="70"/>
      <c r="N10" s="71"/>
    </row>
    <row r="11" spans="1:14" ht="18" customHeight="1" x14ac:dyDescent="0.2">
      <c r="A11" s="4"/>
      <c r="B11" s="61" t="s">
        <v>11</v>
      </c>
      <c r="C11" s="62"/>
      <c r="D11" s="62"/>
      <c r="E11" s="62"/>
      <c r="F11" s="62"/>
      <c r="G11" s="62"/>
      <c r="H11" s="62"/>
      <c r="I11" s="62"/>
      <c r="J11" s="63"/>
      <c r="K11" s="94"/>
      <c r="L11" s="17"/>
      <c r="M11" s="64"/>
      <c r="N11" s="65"/>
    </row>
    <row r="12" spans="1:14" ht="18" customHeight="1" x14ac:dyDescent="0.2">
      <c r="A12" s="4"/>
      <c r="B12" s="61"/>
      <c r="C12" s="62"/>
      <c r="D12" s="62"/>
      <c r="E12" s="62"/>
      <c r="F12" s="62"/>
      <c r="G12" s="62"/>
      <c r="H12" s="62"/>
      <c r="I12" s="62"/>
      <c r="J12" s="63"/>
      <c r="K12" s="94"/>
      <c r="L12" s="17"/>
      <c r="M12" s="64"/>
      <c r="N12" s="65"/>
    </row>
    <row r="13" spans="1:14" ht="18" customHeight="1" x14ac:dyDescent="0.2">
      <c r="B13" s="3" t="s">
        <v>12</v>
      </c>
      <c r="C13" s="95" t="s">
        <v>13</v>
      </c>
      <c r="D13" s="97"/>
      <c r="E13" s="95" t="s">
        <v>14</v>
      </c>
      <c r="F13" s="97"/>
      <c r="G13" s="95" t="s">
        <v>15</v>
      </c>
      <c r="H13" s="97"/>
      <c r="I13" s="95" t="s">
        <v>16</v>
      </c>
      <c r="J13" s="96"/>
      <c r="K13" s="11"/>
      <c r="L13" s="17"/>
      <c r="M13" s="64"/>
      <c r="N13" s="65"/>
    </row>
    <row r="14" spans="1:14" ht="18" customHeight="1" x14ac:dyDescent="0.2">
      <c r="B14" s="8"/>
      <c r="C14" s="72"/>
      <c r="D14" s="73"/>
      <c r="E14" s="72"/>
      <c r="F14" s="73"/>
      <c r="G14" s="72"/>
      <c r="H14" s="73"/>
      <c r="I14" s="72"/>
      <c r="J14" s="87"/>
      <c r="K14" s="11"/>
      <c r="L14" s="17"/>
      <c r="M14" s="64"/>
      <c r="N14" s="65"/>
    </row>
    <row r="15" spans="1:14" ht="18" customHeight="1" x14ac:dyDescent="0.2">
      <c r="B15" s="6"/>
      <c r="C15" s="74"/>
      <c r="D15" s="75"/>
      <c r="E15" s="74"/>
      <c r="F15" s="75"/>
      <c r="G15" s="74"/>
      <c r="H15" s="75"/>
      <c r="I15" s="85"/>
      <c r="J15" s="86"/>
      <c r="K15" s="13"/>
      <c r="L15" s="19"/>
      <c r="M15" s="68"/>
      <c r="N15" s="69"/>
    </row>
    <row r="16" spans="1:14" ht="18" customHeight="1" x14ac:dyDescent="0.2">
      <c r="B16" s="8"/>
      <c r="C16" s="72"/>
      <c r="D16" s="73"/>
      <c r="E16" s="72"/>
      <c r="F16" s="73"/>
      <c r="G16" s="72"/>
      <c r="H16" s="73"/>
      <c r="I16" s="81"/>
      <c r="J16" s="82"/>
      <c r="K16" s="107" t="s">
        <v>14</v>
      </c>
      <c r="L16" s="16"/>
      <c r="M16" s="70"/>
      <c r="N16" s="71"/>
    </row>
    <row r="17" spans="2:14" ht="18" customHeight="1" x14ac:dyDescent="0.2">
      <c r="B17" s="6"/>
      <c r="C17" s="74"/>
      <c r="D17" s="75"/>
      <c r="E17" s="74"/>
      <c r="F17" s="75"/>
      <c r="G17" s="74"/>
      <c r="H17" s="75"/>
      <c r="I17" s="85"/>
      <c r="J17" s="86"/>
      <c r="K17" s="108"/>
      <c r="L17" s="17"/>
      <c r="M17" s="64"/>
      <c r="N17" s="65"/>
    </row>
    <row r="18" spans="2:14" ht="18" customHeight="1" x14ac:dyDescent="0.2">
      <c r="B18" s="9"/>
      <c r="C18" s="90"/>
      <c r="D18" s="91"/>
      <c r="E18" s="90"/>
      <c r="F18" s="91"/>
      <c r="G18" s="90"/>
      <c r="H18" s="91"/>
      <c r="I18" s="90"/>
      <c r="J18" s="92"/>
      <c r="K18" s="108"/>
      <c r="L18" s="17"/>
      <c r="M18" s="64"/>
      <c r="N18" s="65"/>
    </row>
    <row r="19" spans="2:14" ht="18" customHeight="1" x14ac:dyDescent="0.2">
      <c r="B19" s="6"/>
      <c r="C19" s="74"/>
      <c r="D19" s="75"/>
      <c r="E19" s="74"/>
      <c r="F19" s="75"/>
      <c r="G19" s="74"/>
      <c r="H19" s="75"/>
      <c r="I19" s="85"/>
      <c r="J19" s="86"/>
      <c r="K19" s="11"/>
      <c r="L19" s="17"/>
      <c r="M19" s="64"/>
      <c r="N19" s="65"/>
    </row>
    <row r="20" spans="2:14" ht="18" customHeight="1" x14ac:dyDescent="0.2">
      <c r="B20" s="8"/>
      <c r="C20" s="72"/>
      <c r="D20" s="73"/>
      <c r="E20" s="72"/>
      <c r="F20" s="73"/>
      <c r="G20" s="72"/>
      <c r="H20" s="73"/>
      <c r="I20" s="72"/>
      <c r="J20" s="87"/>
      <c r="K20" s="11"/>
      <c r="L20" s="17"/>
      <c r="M20" s="64"/>
      <c r="N20" s="65"/>
    </row>
    <row r="21" spans="2:14" ht="18" customHeight="1" x14ac:dyDescent="0.2">
      <c r="B21" s="6"/>
      <c r="C21" s="74"/>
      <c r="D21" s="75"/>
      <c r="E21" s="74"/>
      <c r="F21" s="75"/>
      <c r="G21" s="74"/>
      <c r="H21" s="75"/>
      <c r="I21" s="88"/>
      <c r="J21" s="89"/>
      <c r="K21" s="13"/>
      <c r="L21" s="19"/>
      <c r="M21" s="68"/>
      <c r="N21" s="69"/>
    </row>
    <row r="22" spans="2:14" ht="18" customHeight="1" x14ac:dyDescent="0.2">
      <c r="B22" s="8"/>
      <c r="C22" s="72"/>
      <c r="D22" s="73"/>
      <c r="E22" s="72"/>
      <c r="F22" s="73"/>
      <c r="G22" s="72"/>
      <c r="H22" s="73"/>
      <c r="I22" s="72"/>
      <c r="J22" s="87"/>
      <c r="K22" s="107" t="s">
        <v>15</v>
      </c>
      <c r="L22" s="16"/>
      <c r="M22" s="70"/>
      <c r="N22" s="71"/>
    </row>
    <row r="23" spans="2:14" ht="18" customHeight="1" x14ac:dyDescent="0.2">
      <c r="B23" s="6"/>
      <c r="C23" s="74"/>
      <c r="D23" s="75"/>
      <c r="E23" s="74"/>
      <c r="F23" s="75"/>
      <c r="G23" s="74"/>
      <c r="H23" s="75"/>
      <c r="I23" s="85"/>
      <c r="J23" s="86"/>
      <c r="K23" s="108"/>
      <c r="L23" s="17"/>
      <c r="M23" s="64"/>
      <c r="N23" s="65"/>
    </row>
    <row r="24" spans="2:14" ht="18" customHeight="1" x14ac:dyDescent="0.2">
      <c r="B24" s="8"/>
      <c r="C24" s="72"/>
      <c r="D24" s="73"/>
      <c r="E24" s="72"/>
      <c r="F24" s="73"/>
      <c r="G24" s="72"/>
      <c r="H24" s="73"/>
      <c r="I24" s="72"/>
      <c r="J24" s="87"/>
      <c r="K24" s="108"/>
      <c r="L24" s="17"/>
      <c r="M24" s="64"/>
      <c r="N24" s="65"/>
    </row>
    <row r="25" spans="2:14" ht="18" customHeight="1" x14ac:dyDescent="0.2">
      <c r="B25" s="6"/>
      <c r="C25" s="74"/>
      <c r="D25" s="75"/>
      <c r="E25" s="74"/>
      <c r="F25" s="75"/>
      <c r="G25" s="74"/>
      <c r="H25" s="75"/>
      <c r="I25" s="85"/>
      <c r="J25" s="86"/>
      <c r="K25" s="108"/>
      <c r="L25" s="17"/>
      <c r="M25" s="64"/>
      <c r="N25" s="65"/>
    </row>
    <row r="26" spans="2:14" ht="18" customHeight="1" x14ac:dyDescent="0.2">
      <c r="B26" s="8"/>
      <c r="C26" s="72"/>
      <c r="D26" s="73"/>
      <c r="E26" s="72"/>
      <c r="F26" s="73"/>
      <c r="G26" s="72"/>
      <c r="H26" s="73"/>
      <c r="I26" s="72"/>
      <c r="J26" s="87"/>
      <c r="K26" s="11"/>
      <c r="L26" s="17"/>
      <c r="M26" s="64"/>
      <c r="N26" s="65"/>
    </row>
    <row r="27" spans="2:14" ht="18" customHeight="1" x14ac:dyDescent="0.2">
      <c r="B27" s="6"/>
      <c r="C27" s="74"/>
      <c r="D27" s="75"/>
      <c r="E27" s="74"/>
      <c r="F27" s="75"/>
      <c r="G27" s="74"/>
      <c r="H27" s="75"/>
      <c r="I27" s="85"/>
      <c r="J27" s="86"/>
      <c r="K27" s="13"/>
      <c r="L27" s="19"/>
      <c r="M27" s="68"/>
      <c r="N27" s="69"/>
    </row>
    <row r="28" spans="2:14" ht="18" customHeight="1" x14ac:dyDescent="0.2">
      <c r="B28" s="8"/>
      <c r="C28" s="72"/>
      <c r="D28" s="73"/>
      <c r="E28" s="72"/>
      <c r="F28" s="73"/>
      <c r="G28" s="72"/>
      <c r="H28" s="73"/>
      <c r="I28" s="72"/>
      <c r="J28" s="87"/>
      <c r="K28" s="93" t="s">
        <v>16</v>
      </c>
      <c r="L28" s="16"/>
      <c r="M28" s="70"/>
      <c r="N28" s="71"/>
    </row>
    <row r="29" spans="2:14" ht="18" customHeight="1" x14ac:dyDescent="0.2">
      <c r="B29" s="6"/>
      <c r="C29" s="74"/>
      <c r="D29" s="75"/>
      <c r="E29" s="74"/>
      <c r="F29" s="75"/>
      <c r="G29" s="74"/>
      <c r="H29" s="75"/>
      <c r="I29" s="74"/>
      <c r="J29" s="80"/>
      <c r="K29" s="94"/>
      <c r="L29" s="17"/>
      <c r="M29" s="64"/>
      <c r="N29" s="65"/>
    </row>
    <row r="30" spans="2:14" ht="18" customHeight="1" x14ac:dyDescent="0.2">
      <c r="B30" s="8"/>
      <c r="C30" s="72"/>
      <c r="D30" s="73"/>
      <c r="E30" s="72"/>
      <c r="F30" s="73"/>
      <c r="G30" s="72"/>
      <c r="H30" s="73"/>
      <c r="I30" s="78"/>
      <c r="J30" s="79"/>
      <c r="K30" s="94"/>
      <c r="L30" s="17"/>
      <c r="M30" s="64"/>
      <c r="N30" s="65"/>
    </row>
    <row r="31" spans="2:14" ht="18" customHeight="1" x14ac:dyDescent="0.2">
      <c r="B31" s="6"/>
      <c r="C31" s="74"/>
      <c r="D31" s="75"/>
      <c r="E31" s="74"/>
      <c r="F31" s="75"/>
      <c r="G31" s="74"/>
      <c r="H31" s="75"/>
      <c r="I31" s="74"/>
      <c r="J31" s="80"/>
      <c r="K31" s="14"/>
      <c r="L31" s="17"/>
      <c r="M31" s="64"/>
      <c r="N31" s="65"/>
    </row>
    <row r="32" spans="2:14" ht="18" customHeight="1" x14ac:dyDescent="0.2">
      <c r="B32" s="8"/>
      <c r="C32" s="72"/>
      <c r="D32" s="73"/>
      <c r="E32" s="72"/>
      <c r="F32" s="73"/>
      <c r="G32" s="72"/>
      <c r="H32" s="73"/>
      <c r="I32" s="81"/>
      <c r="J32" s="82"/>
      <c r="K32" s="14"/>
      <c r="L32" s="17"/>
      <c r="M32" s="64"/>
      <c r="N32" s="65"/>
    </row>
    <row r="33" spans="2:14" ht="18" customHeight="1" x14ac:dyDescent="0.2">
      <c r="B33" s="7"/>
      <c r="C33" s="76"/>
      <c r="D33" s="77"/>
      <c r="E33" s="76"/>
      <c r="F33" s="77"/>
      <c r="G33" s="76"/>
      <c r="H33" s="77"/>
      <c r="I33" s="83"/>
      <c r="J33" s="84"/>
      <c r="K33" s="15"/>
      <c r="L33" s="20"/>
      <c r="M33" s="66"/>
      <c r="N33" s="67"/>
    </row>
  </sheetData>
  <mergeCells count="122">
    <mergeCell ref="M10:N10"/>
    <mergeCell ref="B11:J12"/>
    <mergeCell ref="M11:N11"/>
    <mergeCell ref="M12:N12"/>
    <mergeCell ref="C13:D13"/>
    <mergeCell ref="E13:F13"/>
    <mergeCell ref="G13:H13"/>
    <mergeCell ref="I13:J13"/>
    <mergeCell ref="M13:N13"/>
    <mergeCell ref="B2:B10"/>
    <mergeCell ref="K2:M3"/>
    <mergeCell ref="K4:K6"/>
    <mergeCell ref="M4:N4"/>
    <mergeCell ref="M5:N5"/>
    <mergeCell ref="M6:N6"/>
    <mergeCell ref="M7:N7"/>
    <mergeCell ref="M8:N8"/>
    <mergeCell ref="M9:N9"/>
    <mergeCell ref="K10:K12"/>
    <mergeCell ref="C14:D14"/>
    <mergeCell ref="E14:F14"/>
    <mergeCell ref="G14:H14"/>
    <mergeCell ref="I14:J14"/>
    <mergeCell ref="M14:N14"/>
    <mergeCell ref="C15:D15"/>
    <mergeCell ref="E15:F15"/>
    <mergeCell ref="G15:H15"/>
    <mergeCell ref="I15:J15"/>
    <mergeCell ref="M15:N15"/>
    <mergeCell ref="M17:N17"/>
    <mergeCell ref="C18:D18"/>
    <mergeCell ref="E18:F18"/>
    <mergeCell ref="G18:H18"/>
    <mergeCell ref="I18:J18"/>
    <mergeCell ref="M18:N18"/>
    <mergeCell ref="C16:D16"/>
    <mergeCell ref="E16:F16"/>
    <mergeCell ref="G16:H16"/>
    <mergeCell ref="I16:J16"/>
    <mergeCell ref="K16:K18"/>
    <mergeCell ref="M16:N16"/>
    <mergeCell ref="C17:D17"/>
    <mergeCell ref="E17:F17"/>
    <mergeCell ref="G17:H17"/>
    <mergeCell ref="I17:J17"/>
    <mergeCell ref="C19:D19"/>
    <mergeCell ref="E19:F19"/>
    <mergeCell ref="G19:H19"/>
    <mergeCell ref="I19:J19"/>
    <mergeCell ref="M19:N19"/>
    <mergeCell ref="C20:D20"/>
    <mergeCell ref="E20:F20"/>
    <mergeCell ref="G20:H20"/>
    <mergeCell ref="I20:J20"/>
    <mergeCell ref="M20:N20"/>
    <mergeCell ref="M22:N22"/>
    <mergeCell ref="C23:D23"/>
    <mergeCell ref="E23:F23"/>
    <mergeCell ref="G23:H23"/>
    <mergeCell ref="I23:J23"/>
    <mergeCell ref="M23:N23"/>
    <mergeCell ref="C21:D21"/>
    <mergeCell ref="E21:F21"/>
    <mergeCell ref="G21:H21"/>
    <mergeCell ref="I21:J21"/>
    <mergeCell ref="M21:N21"/>
    <mergeCell ref="C22:D22"/>
    <mergeCell ref="E22:F22"/>
    <mergeCell ref="G22:H22"/>
    <mergeCell ref="I22:J22"/>
    <mergeCell ref="K22:K25"/>
    <mergeCell ref="C24:D24"/>
    <mergeCell ref="E24:F24"/>
    <mergeCell ref="G24:H24"/>
    <mergeCell ref="I24:J24"/>
    <mergeCell ref="M24:N24"/>
    <mergeCell ref="C25:D25"/>
    <mergeCell ref="E25:F25"/>
    <mergeCell ref="G25:H25"/>
    <mergeCell ref="I25:J25"/>
    <mergeCell ref="M25:N25"/>
    <mergeCell ref="C26:D26"/>
    <mergeCell ref="E26:F26"/>
    <mergeCell ref="G26:H26"/>
    <mergeCell ref="I26:J26"/>
    <mergeCell ref="M26:N26"/>
    <mergeCell ref="C27:D27"/>
    <mergeCell ref="E27:F27"/>
    <mergeCell ref="G27:H27"/>
    <mergeCell ref="I27:J27"/>
    <mergeCell ref="M27:N27"/>
    <mergeCell ref="M29:N29"/>
    <mergeCell ref="C30:D30"/>
    <mergeCell ref="E30:F30"/>
    <mergeCell ref="G30:H30"/>
    <mergeCell ref="I30:J30"/>
    <mergeCell ref="M30:N30"/>
    <mergeCell ref="C28:D28"/>
    <mergeCell ref="E28:F28"/>
    <mergeCell ref="G28:H28"/>
    <mergeCell ref="I28:J28"/>
    <mergeCell ref="K28:K30"/>
    <mergeCell ref="M28:N28"/>
    <mergeCell ref="C29:D29"/>
    <mergeCell ref="E29:F29"/>
    <mergeCell ref="G29:H29"/>
    <mergeCell ref="I29:J29"/>
    <mergeCell ref="C33:D33"/>
    <mergeCell ref="E33:F33"/>
    <mergeCell ref="G33:H33"/>
    <mergeCell ref="I33:J33"/>
    <mergeCell ref="M33:N33"/>
    <mergeCell ref="C31:D31"/>
    <mergeCell ref="E31:F31"/>
    <mergeCell ref="G31:H31"/>
    <mergeCell ref="I31:J31"/>
    <mergeCell ref="M31:N31"/>
    <mergeCell ref="C32:D32"/>
    <mergeCell ref="E32:F32"/>
    <mergeCell ref="G32:H32"/>
    <mergeCell ref="I32:J32"/>
    <mergeCell ref="M32:N32"/>
  </mergeCells>
  <conditionalFormatting sqref="C4:H4">
    <cfRule type="expression" dxfId="17" priority="3" stopIfTrue="1">
      <formula>DAY(C4)&gt;8</formula>
    </cfRule>
  </conditionalFormatting>
  <conditionalFormatting sqref="C8:I10">
    <cfRule type="expression" dxfId="16" priority="2" stopIfTrue="1">
      <formula>AND(DAY(C8)&gt;=1,DAY(C8)&lt;=15)</formula>
    </cfRule>
  </conditionalFormatting>
  <conditionalFormatting sqref="C4:I9">
    <cfRule type="expression" dxfId="15" priority="4">
      <formula>VLOOKUP(DAY(C4),DíasDeTareas,1,FALSE)=DAY(C4)</formula>
    </cfRule>
  </conditionalFormatting>
  <conditionalFormatting sqref="B14:J33">
    <cfRule type="expression" dxfId="14" priority="1">
      <formula>B14&lt;&gt;""</formula>
    </cfRule>
  </conditionalFormatting>
  <printOptions horizontalCentered="1"/>
  <pageMargins left="0.5" right="0.5" top="0.5" bottom="0.5" header="0.3" footer="0.3"/>
  <pageSetup scale="63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642A2AB2-C96A-4F1D-A896-B2666E5A28B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37</vt:i4>
      </vt:variant>
    </vt:vector>
  </HeadingPairs>
  <TitlesOfParts>
    <vt:vector size="49" baseType="lpstr"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Octubre</vt:lpstr>
      <vt:lpstr>Noviembre</vt:lpstr>
      <vt:lpstr>Diciembre</vt:lpstr>
      <vt:lpstr>Año_Calendario</vt:lpstr>
      <vt:lpstr>Abril!Área_de_impresión</vt:lpstr>
      <vt:lpstr>Agosto!Área_de_impresión</vt:lpstr>
      <vt:lpstr>Diciembre!Área_de_impresión</vt:lpstr>
      <vt:lpstr>Enero!Área_de_impresión</vt:lpstr>
      <vt:lpstr>Febrero!Área_de_impresión</vt:lpstr>
      <vt:lpstr>Julio!Área_de_impresión</vt:lpstr>
      <vt:lpstr>Junio!Área_de_impresión</vt:lpstr>
      <vt:lpstr>Marzo!Área_de_impresión</vt:lpstr>
      <vt:lpstr>Mayo!Área_de_impresión</vt:lpstr>
      <vt:lpstr>Noviembre!Área_de_impresión</vt:lpstr>
      <vt:lpstr>Octubre!Área_de_impresión</vt:lpstr>
      <vt:lpstr>Septiembre!Área_de_impresión</vt:lpstr>
      <vt:lpstr>Abril!DíasDeTareas</vt:lpstr>
      <vt:lpstr>Agosto!DíasDeTareas</vt:lpstr>
      <vt:lpstr>Diciembre!DíasDeTareas</vt:lpstr>
      <vt:lpstr>Febrero!DíasDeTareas</vt:lpstr>
      <vt:lpstr>Julio!DíasDeTareas</vt:lpstr>
      <vt:lpstr>Junio!DíasDeTareas</vt:lpstr>
      <vt:lpstr>Marzo!DíasDeTareas</vt:lpstr>
      <vt:lpstr>Mayo!DíasDeTareas</vt:lpstr>
      <vt:lpstr>Noviembre!DíasDeTareas</vt:lpstr>
      <vt:lpstr>Octubre!DíasDeTareas</vt:lpstr>
      <vt:lpstr>Septiembre!DíasDeTareas</vt:lpstr>
      <vt:lpstr>DíasDeTareas</vt:lpstr>
      <vt:lpstr>Abril!TablaFechasImportantes</vt:lpstr>
      <vt:lpstr>Agosto!TablaFechasImportantes</vt:lpstr>
      <vt:lpstr>Diciembre!TablaFechasImportantes</vt:lpstr>
      <vt:lpstr>Febrero!TablaFechasImportantes</vt:lpstr>
      <vt:lpstr>Julio!TablaFechasImportantes</vt:lpstr>
      <vt:lpstr>Junio!TablaFechasImportantes</vt:lpstr>
      <vt:lpstr>Marzo!TablaFechasImportantes</vt:lpstr>
      <vt:lpstr>Mayo!TablaFechasImportantes</vt:lpstr>
      <vt:lpstr>Noviembre!TablaFechasImportantes</vt:lpstr>
      <vt:lpstr>Octubre!TablaFechasImportantes</vt:lpstr>
      <vt:lpstr>Septiembre!TablaFechasImportantes</vt:lpstr>
      <vt:lpstr>TablaFechasImportantes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Luffi</dc:creator>
  <cp:lastModifiedBy>ROSALIA</cp:lastModifiedBy>
  <cp:lastPrinted>2010-12-16T21:23:33Z</cp:lastPrinted>
  <dcterms:created xsi:type="dcterms:W3CDTF">2015-11-13T18:10:35Z</dcterms:created>
  <dcterms:modified xsi:type="dcterms:W3CDTF">2020-05-22T00:14:05Z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TC025512749991</vt:lpwstr>
  </property>
</Properties>
</file>